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220" windowWidth="33320" windowHeight="20140" tabRatio="630" activeTab="1"/>
  </bookViews>
  <sheets>
    <sheet name="INA1211 Curve" sheetId="1" r:id="rId1"/>
    <sheet name="FILTER" sheetId="2" r:id="rId2"/>
    <sheet name="ERROR_Xcap" sheetId="3" r:id="rId3"/>
  </sheets>
  <definedNames>
    <definedName name="_xlnm.Print_Area" localSheetId="2">'ERROR_Xcap'!$A$1:$Q$46</definedName>
    <definedName name="_xlnm.Print_Area" localSheetId="0">'INA1211 Curve'!$A$1:$P$51</definedName>
  </definedNames>
  <calcPr fullCalcOnLoad="1"/>
</workbook>
</file>

<file path=xl/sharedStrings.xml><?xml version="1.0" encoding="utf-8"?>
<sst xmlns="http://schemas.openxmlformats.org/spreadsheetml/2006/main" count="124" uniqueCount="81">
  <si>
    <t>© Copyright 2009 Johanson Dielectrics, Inc.</t>
  </si>
  <si>
    <t>Result F:</t>
  </si>
  <si>
    <t>C=</t>
  </si>
  <si>
    <t>f=</t>
  </si>
  <si>
    <t>Freq</t>
  </si>
  <si>
    <t>Cx=</t>
  </si>
  <si>
    <t>Vout</t>
  </si>
  <si>
    <t>dB</t>
  </si>
  <si>
    <t>f(3dB)=</t>
  </si>
  <si>
    <t>3dB ratio=</t>
  </si>
  <si>
    <t>Offset (mm)</t>
  </si>
  <si>
    <t>Eq. 2</t>
  </si>
  <si>
    <t>mm/div.</t>
  </si>
  <si>
    <t>dB/div</t>
  </si>
  <si>
    <t>dB/mm</t>
  </si>
  <si>
    <t>CMRR (dB)</t>
  </si>
  <si>
    <t>Baseline (dB)</t>
  </si>
  <si>
    <t>Rcalc=</t>
  </si>
  <si>
    <t>Freq (Hz)</t>
  </si>
  <si>
    <t>CMRR (dB)</t>
  </si>
  <si>
    <t>Filter @</t>
  </si>
  <si>
    <t>with Fc=</t>
  </si>
  <si>
    <t>Hz</t>
  </si>
  <si>
    <t>Farads</t>
  </si>
  <si>
    <t>Rcalc=</t>
  </si>
  <si>
    <t>Eq. 1</t>
  </si>
  <si>
    <t>Use this calculator 2 to calculate and generate a comparison plot of other RC combinations with the CM optimized filter above.</t>
  </si>
  <si>
    <t>Eq. 2</t>
  </si>
  <si>
    <t>Eq. 4</t>
  </si>
  <si>
    <t>Convert Cap. Units</t>
  </si>
  <si>
    <t>In. Amp Gain (dB)</t>
  </si>
  <si>
    <t>CMV Gain</t>
  </si>
  <si>
    <t>* Resistor values should be between 2 and 10KΩ</t>
  </si>
  <si>
    <t>Ohms*</t>
  </si>
  <si>
    <t>Ideal</t>
  </si>
  <si>
    <t>X2Y®</t>
  </si>
  <si>
    <t>5% Cap.</t>
  </si>
  <si>
    <t>10% Cap.</t>
  </si>
  <si>
    <t>Time Constant Error Plot &amp; Xcap Calculator</t>
  </si>
  <si>
    <t>X-Cap Calculator</t>
  </si>
  <si>
    <t>FILTER CALCULATOR #1</t>
  </si>
  <si>
    <t>FILTER CALCULATOR #2</t>
  </si>
  <si>
    <t>CMV Gain</t>
  </si>
  <si>
    <t>Freq (Hz)</t>
  </si>
  <si>
    <t>CMRR (dB)</t>
  </si>
  <si>
    <t>In. Amp Gain (dB)</t>
  </si>
  <si>
    <t>Filter @</t>
  </si>
  <si>
    <t>with Fc=</t>
  </si>
  <si>
    <t>CMV Gain</t>
  </si>
  <si>
    <t>INA Gain (dB)</t>
  </si>
  <si>
    <t>Filter @</t>
  </si>
  <si>
    <t>with Fc=</t>
  </si>
  <si>
    <t>Download the latest version of this spreadsheet at http://www.johansondielectrics.com/x2y</t>
  </si>
  <si>
    <t>Rev: 02/19/2009</t>
  </si>
  <si>
    <t>Graphic to Numeric Conversion of CMR Data</t>
  </si>
  <si>
    <t>Filter Response Calculator</t>
  </si>
  <si>
    <t>© Copyright 2009 Johanson Dielectrics, Inc.  Download the latest version of this spreadsheet at http://www.johansondielectrics.com/x2y</t>
  </si>
  <si>
    <t xml:space="preserve"> </t>
  </si>
  <si>
    <t xml:space="preserve"> Eq. 1</t>
  </si>
  <si>
    <t>Eq. 4</t>
  </si>
  <si>
    <t>Eq. 5</t>
  </si>
  <si>
    <t>Rcalc=</t>
  </si>
  <si>
    <t>Peak Error</t>
  </si>
  <si>
    <t>mV</t>
  </si>
  <si>
    <t>Desired Error</t>
  </si>
  <si>
    <t>Attenuation:</t>
  </si>
  <si>
    <t>Eq. 6</t>
  </si>
  <si>
    <t>X2Y</t>
  </si>
  <si>
    <t>5% MLCC</t>
  </si>
  <si>
    <t>Peak Error f</t>
  </si>
  <si>
    <t>Hz</t>
  </si>
  <si>
    <t>Eq. 7</t>
  </si>
  <si>
    <t>Hz</t>
  </si>
  <si>
    <t>&lt; Eq. 9</t>
  </si>
  <si>
    <t>Eq. 3 &gt;</t>
  </si>
  <si>
    <t>^Eq. 2</t>
  </si>
  <si>
    <t>^Eq. 4</t>
  </si>
  <si>
    <t xml:space="preserve"> ^Eq. 1</t>
  </si>
  <si>
    <t>Enter nF:</t>
  </si>
  <si>
    <t>Freq. (Hz)</t>
  </si>
  <si>
    <t>Measurment Ratio Data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</si>
</sst>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00"/>
    <numFmt numFmtId="169" formatCode="0.000"/>
    <numFmt numFmtId="170" formatCode="0.0"/>
    <numFmt numFmtId="171" formatCode="0.0000"/>
    <numFmt numFmtId="172" formatCode="0.000000"/>
    <numFmt numFmtId="173" formatCode="#,##0.0"/>
    <numFmt numFmtId="174" formatCode="0.0000000"/>
    <numFmt numFmtId="175" formatCode="0.00000000"/>
    <numFmt numFmtId="176" formatCode="0.000000000"/>
    <numFmt numFmtId="177" formatCode="_(&quot;$&quot;* #,##0.0_);_(&quot;$&quot;* \(#,##0.0\);_(&quot;$&quot;* &quot;-&quot;??_);_(@_)"/>
    <numFmt numFmtId="178" formatCode="_(&quot;$&quot;* #,##0_);_(&quot;$&quot;* \(#,##0\);_(&quot;$&quot;* &quot;-&quot;??_);_(@_)"/>
    <numFmt numFmtId="179" formatCode="General"/>
  </numFmts>
  <fonts count="21">
    <font>
      <sz val="10"/>
      <name val="Arial"/>
      <family val="0"/>
    </font>
    <font>
      <sz val="8"/>
      <name val="Arial"/>
      <family val="0"/>
    </font>
    <font>
      <sz val="9"/>
      <name val="Arial"/>
      <family val="0"/>
    </font>
    <font>
      <sz val="10"/>
      <color indexed="8"/>
      <name val="Arial"/>
      <family val="2"/>
    </font>
    <font>
      <sz val="9"/>
      <color indexed="8"/>
      <name val="Arial"/>
      <family val="0"/>
    </font>
    <font>
      <u val="single"/>
      <sz val="10"/>
      <color indexed="12"/>
      <name val="Arial"/>
      <family val="0"/>
    </font>
    <font>
      <sz val="12"/>
      <color indexed="8"/>
      <name val="Arial"/>
      <family val="0"/>
    </font>
    <font>
      <u val="single"/>
      <sz val="10"/>
      <color indexed="61"/>
      <name val="Arial"/>
      <family val="0"/>
    </font>
    <font>
      <sz val="11"/>
      <color indexed="8"/>
      <name val="Arial"/>
      <family val="0"/>
    </font>
    <font>
      <b/>
      <sz val="12"/>
      <name val="Arial"/>
      <family val="0"/>
    </font>
    <font>
      <sz val="8"/>
      <color indexed="8"/>
      <name val="Arial"/>
      <family val="0"/>
    </font>
    <font>
      <sz val="9.6"/>
      <color indexed="8"/>
      <name val="Arial"/>
      <family val="0"/>
    </font>
    <font>
      <sz val="8"/>
      <color indexed="9"/>
      <name val="Arial"/>
      <family val="0"/>
    </font>
    <font>
      <b/>
      <sz val="8"/>
      <name val="Arial"/>
      <family val="0"/>
    </font>
    <font>
      <sz val="7"/>
      <name val="Arial"/>
      <family val="0"/>
    </font>
    <font>
      <sz val="8"/>
      <name val="Verdana"/>
      <family val="0"/>
    </font>
    <font>
      <b/>
      <sz val="9"/>
      <name val="Arial"/>
      <family val="2"/>
    </font>
    <font>
      <b/>
      <sz val="10"/>
      <name val="Arial"/>
      <family val="2"/>
    </font>
    <font>
      <i/>
      <sz val="8"/>
      <name val="Arial"/>
      <family val="2"/>
    </font>
    <font>
      <b/>
      <i/>
      <sz val="8"/>
      <name val="Arial"/>
      <family val="0"/>
    </font>
    <font>
      <b/>
      <sz val="8"/>
      <color indexed="9"/>
      <name val="Arial"/>
      <family val="0"/>
    </font>
  </fonts>
  <fills count="13">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1"/>
        <bgColor indexed="64"/>
      </patternFill>
    </fill>
    <fill>
      <patternFill patternType="solid">
        <fgColor indexed="14"/>
        <bgColor indexed="64"/>
      </patternFill>
    </fill>
    <fill>
      <patternFill patternType="solid">
        <fgColor indexed="45"/>
        <bgColor indexed="64"/>
      </patternFill>
    </fill>
    <fill>
      <patternFill patternType="solid">
        <fgColor indexed="41"/>
        <bgColor indexed="64"/>
      </patternFill>
    </fill>
    <fill>
      <patternFill patternType="solid">
        <fgColor indexed="10"/>
        <bgColor indexed="64"/>
      </patternFill>
    </fill>
    <fill>
      <patternFill patternType="solid">
        <fgColor indexed="48"/>
        <bgColor indexed="64"/>
      </patternFill>
    </fill>
    <fill>
      <patternFill patternType="solid">
        <fgColor indexed="53"/>
        <bgColor indexed="64"/>
      </patternFill>
    </fill>
    <fill>
      <patternFill patternType="solid">
        <fgColor indexed="15"/>
        <bgColor indexed="64"/>
      </patternFill>
    </fill>
  </fills>
  <borders count="2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medium"/>
      <top style="medium"/>
      <bottom style="thin"/>
    </border>
    <border>
      <left style="thin"/>
      <right style="thin"/>
      <top style="medium"/>
      <bottom style="thin"/>
    </border>
    <border>
      <left style="medium"/>
      <right style="thin"/>
      <top style="thin"/>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0" borderId="0" xfId="0" applyAlignment="1">
      <alignment horizontal="right"/>
    </xf>
    <xf numFmtId="0" fontId="2" fillId="0" borderId="1" xfId="0" applyFont="1" applyBorder="1" applyAlignment="1">
      <alignment horizontal="center"/>
    </xf>
    <xf numFmtId="3" fontId="2" fillId="0" borderId="0" xfId="0" applyNumberFormat="1" applyFont="1" applyAlignment="1">
      <alignment/>
    </xf>
    <xf numFmtId="0" fontId="2" fillId="0" borderId="0" xfId="0" applyFont="1" applyAlignment="1">
      <alignment/>
    </xf>
    <xf numFmtId="170" fontId="2" fillId="0" borderId="0" xfId="0" applyNumberFormat="1" applyFont="1" applyAlignment="1">
      <alignment/>
    </xf>
    <xf numFmtId="0" fontId="2" fillId="0" borderId="0" xfId="0" applyFont="1" applyAlignment="1">
      <alignment wrapText="1"/>
    </xf>
    <xf numFmtId="2" fontId="2" fillId="0" borderId="0" xfId="0" applyNumberFormat="1" applyFont="1" applyAlignment="1">
      <alignment/>
    </xf>
    <xf numFmtId="0" fontId="2" fillId="0" borderId="0" xfId="0" applyNumberFormat="1" applyFont="1" applyAlignment="1">
      <alignment/>
    </xf>
    <xf numFmtId="170" fontId="2" fillId="0" borderId="1" xfId="0" applyNumberFormat="1" applyFont="1" applyBorder="1" applyAlignment="1">
      <alignment horizontal="center"/>
    </xf>
    <xf numFmtId="0" fontId="2" fillId="2" borderId="1" xfId="0" applyFont="1" applyFill="1" applyBorder="1" applyAlignment="1">
      <alignment/>
    </xf>
    <xf numFmtId="170" fontId="2" fillId="3" borderId="1" xfId="0" applyNumberFormat="1" applyFont="1" applyFill="1" applyBorder="1" applyAlignment="1">
      <alignment/>
    </xf>
    <xf numFmtId="0" fontId="2" fillId="2" borderId="1" xfId="0" applyFont="1" applyFill="1" applyBorder="1" applyAlignment="1">
      <alignment horizontal="center"/>
    </xf>
    <xf numFmtId="168" fontId="2" fillId="3" borderId="1" xfId="0" applyNumberFormat="1" applyFont="1" applyFill="1" applyBorder="1" applyAlignment="1">
      <alignment horizontal="center"/>
    </xf>
    <xf numFmtId="0" fontId="2" fillId="4" borderId="0" xfId="0" applyFont="1" applyFill="1" applyAlignment="1">
      <alignment/>
    </xf>
    <xf numFmtId="0" fontId="2" fillId="4" borderId="1" xfId="0" applyFont="1" applyFill="1" applyBorder="1" applyAlignment="1">
      <alignment horizontal="center"/>
    </xf>
    <xf numFmtId="3" fontId="2" fillId="4" borderId="1" xfId="0" applyNumberFormat="1" applyFont="1" applyFill="1" applyBorder="1" applyAlignment="1">
      <alignment horizontal="center"/>
    </xf>
    <xf numFmtId="3" fontId="2" fillId="4" borderId="1" xfId="0" applyNumberFormat="1" applyFont="1" applyFill="1" applyBorder="1" applyAlignment="1">
      <alignment/>
    </xf>
    <xf numFmtId="0" fontId="2" fillId="4" borderId="2" xfId="0" applyFont="1" applyFill="1" applyBorder="1" applyAlignment="1">
      <alignment/>
    </xf>
    <xf numFmtId="0" fontId="2" fillId="4" borderId="3" xfId="0" applyFont="1" applyFill="1" applyBorder="1" applyAlignment="1">
      <alignment/>
    </xf>
    <xf numFmtId="0" fontId="2" fillId="4" borderId="4" xfId="0" applyFont="1" applyFill="1" applyBorder="1" applyAlignment="1">
      <alignment/>
    </xf>
    <xf numFmtId="0" fontId="2" fillId="4" borderId="0" xfId="0" applyFont="1" applyFill="1" applyAlignment="1">
      <alignment horizontal="left" vertical="top"/>
    </xf>
    <xf numFmtId="0" fontId="1" fillId="0" borderId="0" xfId="0" applyFont="1" applyAlignment="1">
      <alignment/>
    </xf>
    <xf numFmtId="0" fontId="1" fillId="0" borderId="1" xfId="0" applyFont="1" applyBorder="1" applyAlignment="1">
      <alignment horizontal="center"/>
    </xf>
    <xf numFmtId="3" fontId="1" fillId="0" borderId="0" xfId="0" applyNumberFormat="1" applyFont="1" applyAlignment="1">
      <alignment/>
    </xf>
    <xf numFmtId="3" fontId="1" fillId="0" borderId="5" xfId="0" applyNumberFormat="1" applyFont="1" applyBorder="1" applyAlignment="1">
      <alignment horizontal="right"/>
    </xf>
    <xf numFmtId="0" fontId="1" fillId="0" borderId="0" xfId="0" applyFont="1" applyAlignment="1">
      <alignment horizontal="center"/>
    </xf>
    <xf numFmtId="3" fontId="1" fillId="0" borderId="6" xfId="0" applyNumberFormat="1" applyFont="1" applyBorder="1" applyAlignment="1">
      <alignment horizontal="right"/>
    </xf>
    <xf numFmtId="168" fontId="1" fillId="3" borderId="7" xfId="0" applyNumberFormat="1" applyFont="1" applyFill="1" applyBorder="1" applyAlignment="1">
      <alignment/>
    </xf>
    <xf numFmtId="0" fontId="1" fillId="3" borderId="1" xfId="0" applyFont="1" applyFill="1" applyBorder="1" applyAlignment="1">
      <alignment/>
    </xf>
    <xf numFmtId="168" fontId="1" fillId="3" borderId="8" xfId="0" applyNumberFormat="1" applyFont="1" applyFill="1" applyBorder="1" applyAlignment="1">
      <alignment/>
    </xf>
    <xf numFmtId="170" fontId="13" fillId="0" borderId="0" xfId="0" applyNumberFormat="1" applyFont="1" applyAlignment="1">
      <alignment horizontal="center"/>
    </xf>
    <xf numFmtId="0" fontId="13" fillId="0" borderId="0" xfId="0" applyNumberFormat="1" applyFont="1" applyAlignment="1">
      <alignment horizontal="center"/>
    </xf>
    <xf numFmtId="0" fontId="14" fillId="0" borderId="1" xfId="0" applyFont="1" applyBorder="1" applyAlignment="1">
      <alignment/>
    </xf>
    <xf numFmtId="11" fontId="14" fillId="0" borderId="1" xfId="0" applyNumberFormat="1"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0" fillId="0" borderId="0" xfId="0" applyFill="1" applyBorder="1" applyAlignment="1">
      <alignment/>
    </xf>
    <xf numFmtId="168" fontId="1" fillId="3" borderId="9" xfId="0" applyNumberFormat="1" applyFont="1" applyFill="1" applyBorder="1" applyAlignment="1">
      <alignment/>
    </xf>
    <xf numFmtId="10" fontId="1" fillId="5" borderId="1" xfId="0" applyNumberFormat="1" applyFont="1" applyFill="1" applyBorder="1" applyAlignment="1" quotePrefix="1">
      <alignment horizontal="center"/>
    </xf>
    <xf numFmtId="0" fontId="13" fillId="0" borderId="0" xfId="0" applyNumberFormat="1" applyFont="1" applyBorder="1" applyAlignment="1">
      <alignment horizontal="center"/>
    </xf>
    <xf numFmtId="0" fontId="0" fillId="0" borderId="0" xfId="0" applyBorder="1" applyAlignment="1">
      <alignment/>
    </xf>
    <xf numFmtId="0" fontId="1" fillId="0" borderId="0" xfId="0" applyFont="1" applyBorder="1" applyAlignment="1">
      <alignment/>
    </xf>
    <xf numFmtId="169" fontId="1" fillId="0" borderId="1" xfId="0" applyNumberFormat="1" applyFont="1" applyBorder="1" applyAlignment="1">
      <alignment/>
    </xf>
    <xf numFmtId="0" fontId="14" fillId="0" borderId="0" xfId="0" applyFont="1" applyBorder="1" applyAlignment="1">
      <alignment/>
    </xf>
    <xf numFmtId="2" fontId="1" fillId="0" borderId="10" xfId="0" applyNumberFormat="1" applyFont="1" applyBorder="1" applyAlignment="1">
      <alignment horizontal="center"/>
    </xf>
    <xf numFmtId="10" fontId="1" fillId="6" borderId="6" xfId="0" applyNumberFormat="1" applyFont="1" applyFill="1" applyBorder="1" applyAlignment="1" quotePrefix="1">
      <alignment horizontal="center"/>
    </xf>
    <xf numFmtId="0" fontId="1" fillId="0" borderId="11" xfId="0" applyNumberFormat="1" applyFont="1" applyBorder="1" applyAlignment="1">
      <alignment horizontal="center"/>
    </xf>
    <xf numFmtId="171" fontId="1" fillId="3" borderId="1" xfId="0" applyNumberFormat="1" applyFont="1" applyFill="1" applyBorder="1" applyAlignment="1">
      <alignment/>
    </xf>
    <xf numFmtId="171" fontId="1" fillId="3" borderId="9" xfId="0" applyNumberFormat="1" applyFont="1" applyFill="1" applyBorder="1" applyAlignment="1">
      <alignment/>
    </xf>
    <xf numFmtId="3" fontId="1" fillId="0" borderId="6" xfId="0" applyNumberFormat="1" applyFont="1" applyBorder="1" applyAlignment="1">
      <alignment/>
    </xf>
    <xf numFmtId="3" fontId="1" fillId="0" borderId="12" xfId="0" applyNumberFormat="1" applyFont="1" applyBorder="1" applyAlignment="1">
      <alignment/>
    </xf>
    <xf numFmtId="0" fontId="1" fillId="3" borderId="9" xfId="0" applyFont="1" applyFill="1" applyBorder="1" applyAlignment="1">
      <alignment/>
    </xf>
    <xf numFmtId="0" fontId="14" fillId="0" borderId="1" xfId="0" applyFont="1" applyBorder="1" applyAlignment="1">
      <alignment horizontal="right"/>
    </xf>
    <xf numFmtId="3" fontId="1" fillId="0" borderId="12" xfId="0" applyNumberFormat="1" applyFont="1" applyBorder="1" applyAlignment="1">
      <alignment horizontal="right"/>
    </xf>
    <xf numFmtId="169" fontId="1" fillId="7" borderId="1" xfId="0" applyNumberFormat="1" applyFont="1" applyFill="1" applyBorder="1" applyAlignment="1">
      <alignment/>
    </xf>
    <xf numFmtId="0" fontId="1" fillId="0" borderId="0" xfId="0" applyFont="1" applyAlignment="1">
      <alignment wrapText="1"/>
    </xf>
    <xf numFmtId="0" fontId="13" fillId="0" borderId="0" xfId="0" applyFont="1" applyAlignment="1">
      <alignment/>
    </xf>
    <xf numFmtId="168" fontId="1" fillId="3" borderId="1" xfId="0" applyNumberFormat="1" applyFont="1" applyFill="1" applyBorder="1" applyAlignment="1">
      <alignment/>
    </xf>
    <xf numFmtId="11" fontId="16" fillId="3" borderId="1" xfId="0" applyNumberFormat="1" applyFont="1" applyFill="1" applyBorder="1" applyAlignment="1">
      <alignment/>
    </xf>
    <xf numFmtId="3" fontId="1" fillId="0" borderId="1" xfId="0" applyNumberFormat="1" applyFont="1" applyFill="1" applyBorder="1" applyAlignment="1">
      <alignment/>
    </xf>
    <xf numFmtId="171" fontId="1" fillId="0" borderId="1" xfId="0" applyNumberFormat="1" applyFont="1" applyBorder="1" applyAlignment="1">
      <alignment/>
    </xf>
    <xf numFmtId="3" fontId="1" fillId="7" borderId="1" xfId="0" applyNumberFormat="1" applyFont="1" applyFill="1" applyBorder="1" applyAlignment="1">
      <alignment/>
    </xf>
    <xf numFmtId="171" fontId="1" fillId="7" borderId="1" xfId="0" applyNumberFormat="1" applyFont="1" applyFill="1" applyBorder="1" applyAlignment="1">
      <alignment/>
    </xf>
    <xf numFmtId="0" fontId="0" fillId="0" borderId="0" xfId="0" applyNumberFormat="1" applyBorder="1" applyAlignment="1">
      <alignment/>
    </xf>
    <xf numFmtId="11" fontId="0" fillId="0" borderId="0" xfId="0" applyNumberFormat="1" applyBorder="1" applyAlignment="1">
      <alignment/>
    </xf>
    <xf numFmtId="0" fontId="0" fillId="0" borderId="13" xfId="0" applyBorder="1" applyAlignment="1">
      <alignment/>
    </xf>
    <xf numFmtId="11" fontId="0" fillId="0" borderId="13" xfId="0" applyNumberFormat="1" applyBorder="1" applyAlignment="1">
      <alignment/>
    </xf>
    <xf numFmtId="0" fontId="0" fillId="0" borderId="13" xfId="0" applyNumberFormat="1" applyBorder="1" applyAlignment="1">
      <alignment/>
    </xf>
    <xf numFmtId="0" fontId="1" fillId="0" borderId="14" xfId="0" applyFont="1" applyBorder="1" applyAlignment="1">
      <alignment/>
    </xf>
    <xf numFmtId="0" fontId="1" fillId="0" borderId="11" xfId="0" applyFont="1" applyBorder="1" applyAlignment="1">
      <alignment horizontal="center"/>
    </xf>
    <xf numFmtId="0" fontId="1" fillId="0" borderId="15" xfId="0" applyFont="1" applyBorder="1" applyAlignment="1">
      <alignment/>
    </xf>
    <xf numFmtId="0" fontId="1" fillId="0" borderId="6" xfId="0" applyFont="1" applyBorder="1" applyAlignment="1">
      <alignment horizontal="right"/>
    </xf>
    <xf numFmtId="0" fontId="1" fillId="0" borderId="7" xfId="0" applyFont="1" applyBorder="1" applyAlignment="1">
      <alignment/>
    </xf>
    <xf numFmtId="0" fontId="2" fillId="0" borderId="7" xfId="0" applyFont="1" applyBorder="1" applyAlignment="1">
      <alignment/>
    </xf>
    <xf numFmtId="0" fontId="16" fillId="0" borderId="6" xfId="0" applyFont="1" applyBorder="1" applyAlignment="1">
      <alignment horizontal="right"/>
    </xf>
    <xf numFmtId="0" fontId="16" fillId="0" borderId="12" xfId="0" applyFont="1" applyBorder="1" applyAlignment="1">
      <alignment horizontal="right"/>
    </xf>
    <xf numFmtId="2" fontId="16" fillId="3" borderId="9" xfId="0" applyNumberFormat="1" applyFont="1" applyFill="1" applyBorder="1" applyAlignment="1">
      <alignment/>
    </xf>
    <xf numFmtId="0" fontId="1" fillId="0" borderId="8" xfId="0" applyFont="1" applyBorder="1" applyAlignment="1">
      <alignment/>
    </xf>
    <xf numFmtId="176" fontId="13" fillId="0" borderId="0" xfId="0" applyNumberFormat="1" applyFont="1" applyBorder="1" applyAlignment="1">
      <alignment/>
    </xf>
    <xf numFmtId="0" fontId="14" fillId="0" borderId="0" xfId="0" applyFont="1" applyBorder="1" applyAlignment="1">
      <alignment horizontal="right"/>
    </xf>
    <xf numFmtId="176" fontId="13" fillId="0" borderId="1" xfId="0" applyNumberFormat="1" applyFont="1" applyBorder="1" applyAlignment="1">
      <alignment/>
    </xf>
    <xf numFmtId="0" fontId="13" fillId="0" borderId="0" xfId="0" applyFont="1" applyBorder="1" applyAlignment="1">
      <alignment horizontal="right"/>
    </xf>
    <xf numFmtId="0" fontId="13" fillId="0" borderId="16" xfId="0" applyFont="1" applyFill="1" applyBorder="1" applyAlignment="1">
      <alignment horizontal="centerContinuous"/>
    </xf>
    <xf numFmtId="0" fontId="17" fillId="0" borderId="17" xfId="0" applyFont="1" applyFill="1" applyBorder="1" applyAlignment="1">
      <alignment horizontal="centerContinuous"/>
    </xf>
    <xf numFmtId="0" fontId="17" fillId="0" borderId="18" xfId="0" applyFont="1" applyFill="1" applyBorder="1" applyAlignment="1">
      <alignment horizontal="centerContinuous"/>
    </xf>
    <xf numFmtId="0" fontId="1" fillId="0" borderId="10" xfId="0" applyFont="1" applyBorder="1" applyAlignment="1">
      <alignment/>
    </xf>
    <xf numFmtId="3" fontId="16" fillId="0" borderId="0" xfId="0" applyNumberFormat="1" applyFont="1" applyAlignment="1">
      <alignment vertical="center"/>
    </xf>
    <xf numFmtId="0" fontId="13" fillId="0" borderId="0" xfId="0" applyFont="1" applyAlignment="1">
      <alignment horizontal="center"/>
    </xf>
    <xf numFmtId="0" fontId="12" fillId="4" borderId="19" xfId="0" applyFont="1" applyFill="1" applyBorder="1" applyAlignment="1">
      <alignment horizontal="center" wrapText="1" shrinkToFit="1"/>
    </xf>
    <xf numFmtId="170" fontId="1" fillId="2" borderId="1" xfId="0" applyNumberFormat="1" applyFont="1" applyFill="1" applyBorder="1" applyAlignment="1">
      <alignment/>
    </xf>
    <xf numFmtId="170" fontId="1" fillId="2" borderId="9" xfId="0" applyNumberFormat="1" applyFont="1" applyFill="1" applyBorder="1" applyAlignment="1">
      <alignment/>
    </xf>
    <xf numFmtId="0" fontId="1" fillId="2" borderId="1" xfId="0" applyFont="1" applyFill="1" applyBorder="1" applyAlignment="1">
      <alignment/>
    </xf>
    <xf numFmtId="0" fontId="13" fillId="0" borderId="0" xfId="0" applyFont="1" applyAlignment="1">
      <alignment horizontal="left"/>
    </xf>
    <xf numFmtId="170" fontId="1" fillId="3" borderId="1" xfId="0" applyNumberFormat="1" applyFont="1" applyFill="1" applyBorder="1" applyAlignment="1">
      <alignment/>
    </xf>
    <xf numFmtId="3" fontId="9" fillId="0" borderId="0" xfId="0" applyNumberFormat="1" applyFont="1" applyAlignment="1">
      <alignment vertical="center"/>
    </xf>
    <xf numFmtId="0" fontId="16" fillId="0" borderId="0" xfId="0" applyFont="1" applyAlignment="1">
      <alignment/>
    </xf>
    <xf numFmtId="169" fontId="1" fillId="3" borderId="6" xfId="0" applyNumberFormat="1" applyFont="1" applyFill="1" applyBorder="1" applyAlignment="1">
      <alignment/>
    </xf>
    <xf numFmtId="169" fontId="1" fillId="3" borderId="1" xfId="0" applyNumberFormat="1" applyFont="1" applyFill="1" applyBorder="1" applyAlignment="1">
      <alignment/>
    </xf>
    <xf numFmtId="169" fontId="1" fillId="3" borderId="7" xfId="0" applyNumberFormat="1" applyFont="1" applyFill="1" applyBorder="1" applyAlignment="1">
      <alignment/>
    </xf>
    <xf numFmtId="169" fontId="1" fillId="3" borderId="12" xfId="0" applyNumberFormat="1" applyFont="1" applyFill="1" applyBorder="1" applyAlignment="1">
      <alignment/>
    </xf>
    <xf numFmtId="169" fontId="1" fillId="3" borderId="9" xfId="0" applyNumberFormat="1" applyFont="1" applyFill="1" applyBorder="1" applyAlignment="1">
      <alignment/>
    </xf>
    <xf numFmtId="169" fontId="1" fillId="3" borderId="8" xfId="0" applyNumberFormat="1" applyFont="1" applyFill="1" applyBorder="1" applyAlignment="1">
      <alignment/>
    </xf>
    <xf numFmtId="3" fontId="18" fillId="7" borderId="6" xfId="0" applyNumberFormat="1" applyFont="1" applyFill="1" applyBorder="1" applyAlignment="1">
      <alignment/>
    </xf>
    <xf numFmtId="3" fontId="18" fillId="8" borderId="6" xfId="0" applyNumberFormat="1" applyFont="1" applyFill="1" applyBorder="1" applyAlignment="1">
      <alignment/>
    </xf>
    <xf numFmtId="170" fontId="18" fillId="8" borderId="1" xfId="0" applyNumberFormat="1" applyFont="1" applyFill="1" applyBorder="1" applyAlignment="1">
      <alignment/>
    </xf>
    <xf numFmtId="3" fontId="18" fillId="8" borderId="1" xfId="0" applyNumberFormat="1" applyFont="1" applyFill="1" applyBorder="1" applyAlignment="1">
      <alignment/>
    </xf>
    <xf numFmtId="3" fontId="18" fillId="8" borderId="12" xfId="0" applyNumberFormat="1" applyFont="1" applyFill="1" applyBorder="1" applyAlignment="1">
      <alignment/>
    </xf>
    <xf numFmtId="170" fontId="18" fillId="8" borderId="9" xfId="0" applyNumberFormat="1" applyFont="1" applyFill="1" applyBorder="1" applyAlignment="1">
      <alignment/>
    </xf>
    <xf numFmtId="3" fontId="18" fillId="8" borderId="9" xfId="0" applyNumberFormat="1" applyFont="1" applyFill="1" applyBorder="1" applyAlignment="1">
      <alignment/>
    </xf>
    <xf numFmtId="0" fontId="19" fillId="8" borderId="11" xfId="0" applyFont="1" applyFill="1" applyBorder="1" applyAlignment="1">
      <alignment/>
    </xf>
    <xf numFmtId="11" fontId="19" fillId="8" borderId="1" xfId="0" applyNumberFormat="1" applyFont="1" applyFill="1" applyBorder="1" applyAlignment="1">
      <alignment/>
    </xf>
    <xf numFmtId="1" fontId="19" fillId="8" borderId="9" xfId="0" applyNumberFormat="1" applyFont="1" applyFill="1" applyBorder="1" applyAlignment="1">
      <alignment/>
    </xf>
    <xf numFmtId="0" fontId="13" fillId="9" borderId="1" xfId="0" applyFont="1" applyFill="1" applyBorder="1" applyAlignment="1">
      <alignment horizontal="center"/>
    </xf>
    <xf numFmtId="0" fontId="13" fillId="9" borderId="7" xfId="0" applyFont="1" applyFill="1" applyBorder="1" applyAlignment="1">
      <alignment horizontal="center"/>
    </xf>
    <xf numFmtId="0" fontId="13" fillId="0" borderId="1" xfId="0" applyFont="1" applyFill="1" applyBorder="1" applyAlignment="1">
      <alignment horizontal="center"/>
    </xf>
    <xf numFmtId="0" fontId="13" fillId="0" borderId="7" xfId="0" applyFont="1" applyFill="1" applyBorder="1" applyAlignment="1">
      <alignment horizontal="center"/>
    </xf>
    <xf numFmtId="0" fontId="10" fillId="0" borderId="20" xfId="0" applyFont="1" applyFill="1" applyBorder="1" applyAlignment="1">
      <alignment horizontal="center" wrapText="1" shrinkToFit="1"/>
    </xf>
    <xf numFmtId="169" fontId="1" fillId="2" borderId="1" xfId="0" applyNumberFormat="1" applyFont="1" applyFill="1" applyBorder="1" applyAlignment="1">
      <alignment/>
    </xf>
    <xf numFmtId="1" fontId="1" fillId="2" borderId="1" xfId="0" applyNumberFormat="1" applyFont="1" applyFill="1" applyBorder="1" applyAlignment="1">
      <alignment/>
    </xf>
    <xf numFmtId="2" fontId="1" fillId="2" borderId="1" xfId="0" applyNumberFormat="1" applyFont="1" applyFill="1" applyBorder="1" applyAlignment="1">
      <alignment/>
    </xf>
    <xf numFmtId="0" fontId="20" fillId="4" borderId="19" xfId="0" applyFont="1" applyFill="1" applyBorder="1" applyAlignment="1">
      <alignment horizontal="center" wrapText="1" shrinkToFit="1"/>
    </xf>
    <xf numFmtId="0" fontId="13" fillId="0" borderId="11" xfId="0" applyNumberFormat="1" applyFont="1" applyBorder="1" applyAlignment="1">
      <alignment horizontal="center"/>
    </xf>
    <xf numFmtId="2" fontId="13" fillId="0" borderId="10" xfId="0" applyNumberFormat="1" applyFont="1" applyBorder="1" applyAlignment="1">
      <alignment horizontal="center"/>
    </xf>
    <xf numFmtId="0" fontId="20" fillId="10" borderId="20" xfId="0" applyFont="1" applyFill="1" applyBorder="1" applyAlignment="1">
      <alignment horizontal="center" wrapText="1" shrinkToFit="1"/>
    </xf>
    <xf numFmtId="0" fontId="13" fillId="2" borderId="11" xfId="0" applyFont="1" applyFill="1" applyBorder="1" applyAlignment="1">
      <alignment/>
    </xf>
    <xf numFmtId="11" fontId="13" fillId="2" borderId="1" xfId="0" applyNumberFormat="1" applyFont="1" applyFill="1" applyBorder="1" applyAlignment="1">
      <alignment/>
    </xf>
    <xf numFmtId="1" fontId="13" fillId="3" borderId="9" xfId="0" applyNumberFormat="1" applyFont="1" applyFill="1" applyBorder="1" applyAlignment="1">
      <alignment/>
    </xf>
    <xf numFmtId="0" fontId="13" fillId="11" borderId="1" xfId="0" applyFont="1" applyFill="1" applyBorder="1" applyAlignment="1">
      <alignment horizontal="center"/>
    </xf>
    <xf numFmtId="0" fontId="13" fillId="11" borderId="7" xfId="0" applyFont="1" applyFill="1" applyBorder="1" applyAlignment="1">
      <alignment horizontal="center"/>
    </xf>
    <xf numFmtId="169" fontId="18" fillId="8" borderId="1" xfId="0" applyNumberFormat="1" applyFont="1" applyFill="1" applyBorder="1" applyAlignment="1">
      <alignment/>
    </xf>
    <xf numFmtId="169" fontId="18" fillId="8" borderId="9" xfId="0" applyNumberFormat="1" applyFont="1" applyFill="1" applyBorder="1" applyAlignment="1">
      <alignment/>
    </xf>
    <xf numFmtId="169" fontId="18" fillId="8" borderId="1" xfId="0" applyNumberFormat="1" applyFont="1" applyFill="1" applyBorder="1" applyAlignment="1">
      <alignment/>
    </xf>
    <xf numFmtId="169" fontId="18" fillId="8" borderId="7" xfId="0" applyNumberFormat="1" applyFont="1" applyFill="1" applyBorder="1" applyAlignment="1">
      <alignment/>
    </xf>
    <xf numFmtId="169" fontId="18" fillId="8" borderId="9" xfId="0" applyNumberFormat="1" applyFont="1" applyFill="1" applyBorder="1" applyAlignment="1">
      <alignment/>
    </xf>
    <xf numFmtId="169" fontId="18" fillId="8" borderId="8" xfId="0" applyNumberFormat="1" applyFont="1" applyFill="1" applyBorder="1" applyAlignment="1">
      <alignment/>
    </xf>
    <xf numFmtId="10" fontId="1" fillId="12" borderId="1" xfId="0" applyNumberFormat="1" applyFont="1" applyFill="1" applyBorder="1" applyAlignment="1" quotePrefix="1">
      <alignment horizontal="center"/>
    </xf>
    <xf numFmtId="10" fontId="1" fillId="9" borderId="7" xfId="0" applyNumberFormat="1" applyFont="1" applyFill="1" applyBorder="1" applyAlignment="1" quotePrefix="1">
      <alignment horizontal="center"/>
    </xf>
    <xf numFmtId="10" fontId="13" fillId="2" borderId="6" xfId="0" applyNumberFormat="1" applyFont="1" applyFill="1" applyBorder="1" applyAlignment="1" quotePrefix="1">
      <alignment horizontal="center"/>
    </xf>
    <xf numFmtId="10" fontId="13" fillId="2" borderId="1" xfId="0" applyNumberFormat="1" applyFont="1" applyFill="1" applyBorder="1" applyAlignment="1" quotePrefix="1">
      <alignment horizontal="center"/>
    </xf>
    <xf numFmtId="10" fontId="13" fillId="2" borderId="7" xfId="0" applyNumberFormat="1" applyFont="1" applyFill="1" applyBorder="1" applyAlignment="1" quotePrefix="1">
      <alignment horizontal="center"/>
    </xf>
    <xf numFmtId="170" fontId="1" fillId="3" borderId="9" xfId="0" applyNumberFormat="1" applyFont="1" applyFill="1" applyBorder="1" applyAlignment="1">
      <alignment/>
    </xf>
    <xf numFmtId="3" fontId="2" fillId="0" borderId="0" xfId="0" applyNumberFormat="1" applyFont="1" applyAlignment="1">
      <alignment vertical="center"/>
    </xf>
    <xf numFmtId="0" fontId="9" fillId="4" borderId="0" xfId="0" applyFont="1" applyFill="1" applyAlignment="1">
      <alignment horizontal="left" vertical="center"/>
    </xf>
    <xf numFmtId="0" fontId="0" fillId="0" borderId="0" xfId="0" applyAlignment="1">
      <alignment horizontal="left" vertical="center"/>
    </xf>
    <xf numFmtId="3" fontId="13" fillId="0" borderId="21" xfId="0" applyNumberFormat="1" applyFont="1" applyBorder="1" applyAlignment="1">
      <alignment horizontal="center" wrapText="1"/>
    </xf>
    <xf numFmtId="0" fontId="17" fillId="0" borderId="22" xfId="0" applyFont="1" applyBorder="1" applyAlignment="1">
      <alignment horizontal="center" wrapText="1"/>
    </xf>
    <xf numFmtId="3" fontId="13" fillId="0" borderId="5" xfId="0" applyNumberFormat="1" applyFont="1" applyBorder="1" applyAlignment="1">
      <alignment horizontal="center" wrapText="1"/>
    </xf>
    <xf numFmtId="0" fontId="17" fillId="0" borderId="6" xfId="0" applyFont="1" applyBorder="1" applyAlignment="1">
      <alignment wrapText="1"/>
    </xf>
    <xf numFmtId="170" fontId="13" fillId="0" borderId="11" xfId="0" applyNumberFormat="1" applyFont="1" applyBorder="1" applyAlignment="1">
      <alignment horizontal="center" wrapText="1"/>
    </xf>
    <xf numFmtId="0" fontId="17" fillId="0" borderId="1" xfId="0" applyFont="1" applyBorder="1" applyAlignment="1">
      <alignment wrapText="1"/>
    </xf>
    <xf numFmtId="0" fontId="13" fillId="0" borderId="11" xfId="0" applyFont="1" applyBorder="1" applyAlignment="1">
      <alignment horizontal="center" wrapText="1"/>
    </xf>
    <xf numFmtId="0" fontId="13" fillId="0" borderId="19" xfId="0" applyFont="1" applyBorder="1" applyAlignment="1">
      <alignment horizontal="center" wrapText="1"/>
    </xf>
    <xf numFmtId="0" fontId="17" fillId="0" borderId="20" xfId="0" applyFont="1" applyBorder="1" applyAlignment="1">
      <alignment horizontal="center" wrapText="1"/>
    </xf>
    <xf numFmtId="170" fontId="13" fillId="0" borderId="19" xfId="0" applyNumberFormat="1" applyFont="1" applyBorder="1" applyAlignment="1">
      <alignment horizontal="center" wrapText="1"/>
    </xf>
    <xf numFmtId="3" fontId="1" fillId="0" borderId="21" xfId="0" applyNumberFormat="1" applyFont="1" applyBorder="1" applyAlignment="1">
      <alignment horizontal="center" wrapText="1"/>
    </xf>
    <xf numFmtId="0" fontId="0" fillId="0" borderId="22" xfId="0" applyBorder="1" applyAlignment="1">
      <alignment horizontal="center" wrapText="1"/>
    </xf>
    <xf numFmtId="170" fontId="1" fillId="0" borderId="19" xfId="0" applyNumberFormat="1" applyFont="1" applyBorder="1" applyAlignment="1">
      <alignment horizontal="center" wrapText="1"/>
    </xf>
    <xf numFmtId="0" fontId="0" fillId="0" borderId="20" xfId="0" applyBorder="1" applyAlignment="1">
      <alignment horizontal="center" wrapText="1"/>
    </xf>
    <xf numFmtId="0" fontId="1" fillId="0" borderId="19"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INA121 CMR (G=100V/V) Recreated</a:t>
            </a:r>
          </a:p>
        </c:rich>
      </c:tx>
      <c:layout>
        <c:manualLayout>
          <c:xMode val="factor"/>
          <c:yMode val="factor"/>
          <c:x val="-0.0035"/>
          <c:y val="-0.0125"/>
        </c:manualLayout>
      </c:layout>
      <c:spPr>
        <a:noFill/>
        <a:ln>
          <a:noFill/>
        </a:ln>
      </c:spPr>
    </c:title>
    <c:plotArea>
      <c:layout>
        <c:manualLayout>
          <c:xMode val="edge"/>
          <c:yMode val="edge"/>
          <c:x val="0.02275"/>
          <c:y val="0.6355"/>
          <c:w val="0.986"/>
          <c:h val="0.34425"/>
        </c:manualLayout>
      </c:layout>
      <c:scatterChart>
        <c:scatterStyle val="smoothMarker"/>
        <c:varyColors val="0"/>
        <c:ser>
          <c:idx val="1"/>
          <c:order val="0"/>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'INA1211 Curve'!$C$15:$C$46</c:f>
              <c:numCache/>
            </c:numRef>
          </c:xVal>
          <c:yVal>
            <c:numRef>
              <c:f>'INA1211 Curve'!$F$15:$F$46</c:f>
              <c:numCache/>
            </c:numRef>
          </c:yVal>
          <c:smooth val="1"/>
        </c:ser>
        <c:axId val="56922390"/>
        <c:axId val="42539463"/>
      </c:scatterChart>
      <c:valAx>
        <c:axId val="56922390"/>
        <c:scaling>
          <c:logBase val="10"/>
          <c:orientation val="minMax"/>
          <c:max val="1000000"/>
          <c:min val="10"/>
        </c:scaling>
        <c:axPos val="b"/>
        <c:title>
          <c:tx>
            <c:rich>
              <a:bodyPr vert="horz" rot="0" anchor="ctr"/>
              <a:lstStyle/>
              <a:p>
                <a:pPr algn="ctr">
                  <a:defRPr/>
                </a:pPr>
                <a:r>
                  <a:rPr lang="en-US" cap="none" sz="1000" b="0" i="0" u="none" baseline="0">
                    <a:latin typeface="Arial"/>
                    <a:ea typeface="Arial"/>
                    <a:cs typeface="Arial"/>
                  </a:rPr>
                  <a:t>Frequency (Hz)</a:t>
                </a:r>
              </a:p>
            </c:rich>
          </c:tx>
          <c:layout>
            <c:manualLayout>
              <c:xMode val="factor"/>
              <c:yMode val="factor"/>
              <c:x val="-0.05275"/>
              <c:y val="0.018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000000"/>
            </a:solidFill>
          </a:ln>
        </c:spPr>
        <c:crossAx val="42539463"/>
        <c:crosses val="autoZero"/>
        <c:crossBetween val="midCat"/>
        <c:dispUnits/>
      </c:valAx>
      <c:valAx>
        <c:axId val="42539463"/>
        <c:scaling>
          <c:orientation val="minMax"/>
          <c:max val="120"/>
          <c:min val="0"/>
        </c:scaling>
        <c:axPos val="l"/>
        <c:title>
          <c:tx>
            <c:rich>
              <a:bodyPr vert="horz" rot="-5400000" anchor="ctr"/>
              <a:lstStyle/>
              <a:p>
                <a:pPr algn="ctr">
                  <a:defRPr/>
                </a:pPr>
                <a:r>
                  <a:rPr lang="en-US" cap="none" sz="1000" b="0" i="0" u="none" baseline="0">
                    <a:latin typeface="Arial"/>
                    <a:ea typeface="Arial"/>
                    <a:cs typeface="Arial"/>
                  </a:rPr>
                  <a:t>Common Mode Rejection (dB)</a:t>
                </a:r>
              </a:p>
            </c:rich>
          </c:tx>
          <c:layout>
            <c:manualLayout>
              <c:xMode val="factor"/>
              <c:yMode val="factor"/>
              <c:x val="-0.01575"/>
              <c:y val="-0.01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922390"/>
        <c:crosses val="autoZero"/>
        <c:crossBetween val="midCat"/>
        <c:dispUnits/>
        <c:minorUnit val="4"/>
      </c:valAx>
      <c:spPr>
        <a:solidFill>
          <a:srgbClr val="FFFFFF"/>
        </a:solid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Output Error with 1V CM signal in</a:t>
            </a:r>
          </a:p>
        </c:rich>
      </c:tx>
      <c:layout>
        <c:manualLayout>
          <c:xMode val="factor"/>
          <c:yMode val="factor"/>
          <c:x val="-0.0055"/>
          <c:y val="-0.0185"/>
        </c:manualLayout>
      </c:layout>
      <c:spPr>
        <a:noFill/>
        <a:ln w="3175">
          <a:noFill/>
        </a:ln>
      </c:spPr>
    </c:title>
    <c:plotArea>
      <c:layout>
        <c:manualLayout>
          <c:xMode val="edge"/>
          <c:yMode val="edge"/>
          <c:x val="0.0085"/>
          <c:y val="0.3055"/>
          <c:w val="0.9995"/>
          <c:h val="0.678"/>
        </c:manualLayout>
      </c:layout>
      <c:scatterChart>
        <c:scatterStyle val="smoothMarker"/>
        <c:varyColors val="0"/>
        <c:ser>
          <c:idx val="3"/>
          <c:order val="0"/>
          <c:tx>
            <c:v>Unfiltered</c:v>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FILTER!$E$13:$E$44</c:f>
              <c:numCache/>
            </c:numRef>
          </c:yVal>
          <c:smooth val="1"/>
        </c:ser>
        <c:ser>
          <c:idx val="4"/>
          <c:order val="1"/>
          <c:tx>
            <c:strRef>
              <c:f>FILTER!$G$11:$G$12</c:f>
              <c:strCache>
                <c:ptCount val="1"/>
                <c:pt idx="0">
                  <c:v>with Fc= 400Hz</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(FILTER!$G$13:$G$44,FILTER!$G$92:$G$124)</c:f>
              <c:numCache/>
            </c:numRef>
          </c:yVal>
          <c:smooth val="1"/>
        </c:ser>
        <c:axId val="47310848"/>
        <c:axId val="23144449"/>
      </c:scatterChart>
      <c:valAx>
        <c:axId val="47310848"/>
        <c:scaling>
          <c:logBase val="10"/>
          <c:orientation val="minMax"/>
          <c:max val="100000"/>
          <c:min val="100"/>
        </c:scaling>
        <c:axPos val="b"/>
        <c:title>
          <c:tx>
            <c:rich>
              <a:bodyPr vert="horz" rot="0" anchor="ctr"/>
              <a:lstStyle/>
              <a:p>
                <a:pPr algn="ctr">
                  <a:defRPr/>
                </a:pPr>
                <a:r>
                  <a:rPr lang="en-US" cap="none" sz="800" b="0" i="0" u="none" baseline="0">
                    <a:latin typeface="Arial"/>
                    <a:ea typeface="Arial"/>
                    <a:cs typeface="Arial"/>
                  </a:rPr>
                  <a:t>Frequency (Hz)</a:t>
                </a:r>
              </a:p>
            </c:rich>
          </c:tx>
          <c:layout>
            <c:manualLayout>
              <c:xMode val="factor"/>
              <c:yMode val="factor"/>
              <c:x val="-0.01675"/>
              <c:y val="-0.007"/>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23144449"/>
        <c:crosses val="autoZero"/>
        <c:crossBetween val="midCat"/>
        <c:dispUnits/>
      </c:valAx>
      <c:valAx>
        <c:axId val="23144449"/>
        <c:scaling>
          <c:orientation val="minMax"/>
          <c:max val="10"/>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1475"/>
              <c:y val="0.011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7310848"/>
        <c:crossesAt val="10"/>
        <c:crossBetween val="midCat"/>
        <c:dispUnits/>
      </c:valAx>
      <c:spPr>
        <a:solidFill>
          <a:srgbClr val="FFFFFF"/>
        </a:solidFill>
        <a:ln w="12700">
          <a:solidFill>
            <a:srgbClr val="000000"/>
          </a:solidFill>
        </a:ln>
      </c:spPr>
    </c:plotArea>
    <c:legend>
      <c:legendPos val="b"/>
      <c:layout>
        <c:manualLayout>
          <c:xMode val="edge"/>
          <c:yMode val="edge"/>
          <c:x val="0.18875"/>
          <c:y val="0.41625"/>
          <c:w val="0.26425"/>
          <c:h val="0.11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Output Error with 1V CM signal in</a:t>
            </a:r>
          </a:p>
        </c:rich>
      </c:tx>
      <c:layout>
        <c:manualLayout>
          <c:xMode val="factor"/>
          <c:yMode val="factor"/>
          <c:x val="-0.0055"/>
          <c:y val="-0.0335"/>
        </c:manualLayout>
      </c:layout>
      <c:spPr>
        <a:noFill/>
        <a:ln w="3175">
          <a:noFill/>
        </a:ln>
      </c:spPr>
    </c:title>
    <c:plotArea>
      <c:layout>
        <c:manualLayout>
          <c:xMode val="edge"/>
          <c:yMode val="edge"/>
          <c:x val="0.0085"/>
          <c:y val="0.3055"/>
          <c:w val="0.9995"/>
          <c:h val="0.678"/>
        </c:manualLayout>
      </c:layout>
      <c:scatterChart>
        <c:scatterStyle val="smoothMarker"/>
        <c:varyColors val="0"/>
        <c:ser>
          <c:idx val="3"/>
          <c:order val="0"/>
          <c:tx>
            <c:v>Unfiltered</c:v>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FILTER!$E$13:$E$44</c:f>
              <c:numCache/>
            </c:numRef>
          </c:yVal>
          <c:smooth val="1"/>
        </c:ser>
        <c:ser>
          <c:idx val="4"/>
          <c:order val="1"/>
          <c:tx>
            <c:strRef>
              <c:f>FILTER!$G$11:$G$12</c:f>
              <c:strCache>
                <c:ptCount val="1"/>
                <c:pt idx="0">
                  <c:v>with Fc= 400Hz</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(FILTER!$G$13:$G$44,FILTER!$G$92:$G$124)</c:f>
              <c:numCache/>
            </c:numRef>
          </c:yVal>
          <c:smooth val="1"/>
        </c:ser>
        <c:ser>
          <c:idx val="0"/>
          <c:order val="2"/>
          <c:tx>
            <c:strRef>
              <c:f>FILTER!$G$53:$G$54</c:f>
              <c:strCache>
                <c:ptCount val="1"/>
                <c:pt idx="0">
                  <c:v>with Fc= 1000Hz</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FILTER!$B$55:$B$86</c:f>
              <c:numCache/>
            </c:numRef>
          </c:xVal>
          <c:yVal>
            <c:numRef>
              <c:f>FILTER!$G$55:$G$86</c:f>
              <c:numCache/>
            </c:numRef>
          </c:yVal>
          <c:smooth val="1"/>
        </c:ser>
        <c:axId val="6973450"/>
        <c:axId val="62761051"/>
      </c:scatterChart>
      <c:valAx>
        <c:axId val="6973450"/>
        <c:scaling>
          <c:logBase val="10"/>
          <c:orientation val="minMax"/>
          <c:max val="100000"/>
          <c:min val="100"/>
        </c:scaling>
        <c:axPos val="b"/>
        <c:title>
          <c:tx>
            <c:rich>
              <a:bodyPr vert="horz" rot="0" anchor="ctr"/>
              <a:lstStyle/>
              <a:p>
                <a:pPr algn="ctr">
                  <a:defRPr/>
                </a:pPr>
                <a:r>
                  <a:rPr lang="en-US" cap="none" sz="800" b="0" i="0" u="none" baseline="0">
                    <a:latin typeface="Arial"/>
                    <a:ea typeface="Arial"/>
                    <a:cs typeface="Arial"/>
                  </a:rPr>
                  <a:t>Frequency (Hz)</a:t>
                </a:r>
              </a:p>
            </c:rich>
          </c:tx>
          <c:layout>
            <c:manualLayout>
              <c:xMode val="factor"/>
              <c:yMode val="factor"/>
              <c:x val="-0.01675"/>
              <c:y val="-0.007"/>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62761051"/>
        <c:crosses val="autoZero"/>
        <c:crossBetween val="midCat"/>
        <c:dispUnits/>
      </c:valAx>
      <c:valAx>
        <c:axId val="62761051"/>
        <c:scaling>
          <c:orientation val="minMax"/>
          <c:max val="10"/>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1475"/>
              <c:y val="0.011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973450"/>
        <c:crossesAt val="10"/>
        <c:crossBetween val="midCat"/>
        <c:dispUnits/>
      </c:valAx>
      <c:spPr>
        <a:solidFill>
          <a:srgbClr val="FFFFFF"/>
        </a:solidFill>
        <a:ln w="12700">
          <a:solidFill>
            <a:srgbClr val="000000"/>
          </a:solidFill>
        </a:ln>
      </c:spPr>
    </c:plotArea>
    <c:legend>
      <c:legendPos val="b"/>
      <c:layout>
        <c:manualLayout>
          <c:xMode val="edge"/>
          <c:yMode val="edge"/>
          <c:x val="0.18875"/>
          <c:y val="0.409"/>
          <c:w val="0.26675"/>
          <c:h val="0.159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Fc=400Hz CM Error</a:t>
            </a:r>
          </a:p>
        </c:rich>
      </c:tx>
      <c:layout>
        <c:manualLayout>
          <c:xMode val="factor"/>
          <c:yMode val="factor"/>
          <c:x val="-0.0035"/>
          <c:y val="-0.00975"/>
        </c:manualLayout>
      </c:layout>
      <c:spPr>
        <a:noFill/>
        <a:ln>
          <a:noFill/>
        </a:ln>
      </c:spPr>
    </c:title>
    <c:plotArea>
      <c:layout>
        <c:manualLayout>
          <c:xMode val="edge"/>
          <c:yMode val="edge"/>
          <c:x val="0.0445"/>
          <c:y val="0.2905"/>
          <c:w val="0.95425"/>
          <c:h val="0.68525"/>
        </c:manualLayout>
      </c:layout>
      <c:scatterChart>
        <c:scatterStyle val="smoothMarker"/>
        <c:varyColors val="0"/>
        <c:ser>
          <c:idx val="3"/>
          <c:order val="0"/>
          <c:tx>
            <c:strRef>
              <c:f>ERROR_Xcap!$H$11</c:f>
              <c:strCache>
                <c:ptCount val="1"/>
                <c:pt idx="0">
                  <c:v>Ideal</c:v>
                </c:pt>
              </c:strCache>
            </c:strRef>
          </c:tx>
          <c:spPr>
            <a:ln w="25400">
              <a:solidFill>
                <a:srgbClr val="F20884"/>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20884"/>
              </a:solidFill>
              <a:ln>
                <a:solidFill>
                  <a:srgbClr val="F20884"/>
                </a:solidFill>
              </a:ln>
            </c:spPr>
          </c:marker>
          <c:xVal>
            <c:numRef>
              <c:f>ERROR_Xcap!$B$13:$B$44</c:f>
              <c:numCache/>
            </c:numRef>
          </c:xVal>
          <c:yVal>
            <c:numRef>
              <c:f>ERROR_Xcap!$H$13:$H$44</c:f>
              <c:numCache/>
            </c:numRef>
          </c:yVal>
          <c:smooth val="1"/>
        </c:ser>
        <c:ser>
          <c:idx val="2"/>
          <c:order val="1"/>
          <c:tx>
            <c:strRef>
              <c:f>ERROR_Xcap!$I$11</c:f>
              <c:strCache>
                <c:ptCount val="1"/>
                <c:pt idx="0">
                  <c:v>X2Y?</c:v>
                </c:pt>
              </c:strCache>
            </c:strRef>
          </c:tx>
          <c:spPr>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6411"/>
              </a:solidFill>
              <a:ln>
                <a:solidFill>
                  <a:srgbClr val="006411"/>
                </a:solidFill>
              </a:ln>
            </c:spPr>
          </c:marker>
          <c:xVal>
            <c:numRef>
              <c:f>ERROR_Xcap!$B$13:$B$44</c:f>
              <c:numCache/>
            </c:numRef>
          </c:xVal>
          <c:yVal>
            <c:numRef>
              <c:f>ERROR_Xcap!$I$13:$I$44</c:f>
              <c:numCache/>
            </c:numRef>
          </c:yVal>
          <c:smooth val="1"/>
        </c:ser>
        <c:ser>
          <c:idx val="1"/>
          <c:order val="2"/>
          <c:tx>
            <c:strRef>
              <c:f>ERROR_Xcap!$J$11</c:f>
              <c:strCache>
                <c:ptCount val="1"/>
                <c:pt idx="0">
                  <c:v>5% Cap.</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xVal>
            <c:numRef>
              <c:f>ERROR_Xcap!$B$13:$B$44</c:f>
              <c:numCache/>
            </c:numRef>
          </c:xVal>
          <c:yVal>
            <c:numRef>
              <c:f>ERROR_Xcap!$J$13:$J$44</c:f>
              <c:numCache/>
            </c:numRef>
          </c:yVal>
          <c:smooth val="1"/>
        </c:ser>
        <c:ser>
          <c:idx val="0"/>
          <c:order val="3"/>
          <c:tx>
            <c:strRef>
              <c:f>ERROR_Xcap!$K$11</c:f>
              <c:strCache>
                <c:ptCount val="1"/>
                <c:pt idx="0">
                  <c:v>10% Cap.</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DD0806"/>
              </a:solidFill>
              <a:ln>
                <a:solidFill>
                  <a:srgbClr val="DD0806"/>
                </a:solidFill>
              </a:ln>
            </c:spPr>
          </c:marker>
          <c:xVal>
            <c:numRef>
              <c:f>ERROR_Xcap!$B$13:$B$44</c:f>
              <c:numCache/>
            </c:numRef>
          </c:xVal>
          <c:yVal>
            <c:numRef>
              <c:f>ERROR_Xcap!$K$13:$K$44</c:f>
              <c:numCache/>
            </c:numRef>
          </c:yVal>
          <c:smooth val="1"/>
        </c:ser>
        <c:axId val="27978548"/>
        <c:axId val="50480341"/>
      </c:scatterChart>
      <c:valAx>
        <c:axId val="27978548"/>
        <c:scaling>
          <c:logBase val="10"/>
          <c:orientation val="minMax"/>
          <c:max val="100000"/>
          <c:min val="10"/>
        </c:scaling>
        <c:axPos val="b"/>
        <c:title>
          <c:tx>
            <c:rich>
              <a:bodyPr vert="horz" rot="0" anchor="ctr"/>
              <a:lstStyle/>
              <a:p>
                <a:pPr algn="ctr">
                  <a:defRPr/>
                </a:pPr>
                <a:r>
                  <a:rPr lang="en-US" cap="none" sz="800" b="0" i="0" u="none" baseline="0">
                    <a:latin typeface="Arial"/>
                    <a:ea typeface="Arial"/>
                    <a:cs typeface="Arial"/>
                  </a:rPr>
                  <a:t>Frequency(Hz)</a:t>
                </a:r>
              </a:p>
            </c:rich>
          </c:tx>
          <c:layout>
            <c:manualLayout>
              <c:xMode val="factor"/>
              <c:yMode val="factor"/>
              <c:x val="-0.03075"/>
              <c:y val="0.005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50480341"/>
        <c:crosses val="autoZero"/>
        <c:crossBetween val="midCat"/>
        <c:dispUnits/>
      </c:valAx>
      <c:valAx>
        <c:axId val="50480341"/>
        <c:scaling>
          <c:orientation val="minMax"/>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2375"/>
              <c:y val="0.01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7978548"/>
        <c:crosses val="autoZero"/>
        <c:crossBetween val="midCat"/>
        <c:dispUnits/>
        <c:majorUnit val="5"/>
        <c:minorUnit val="1"/>
      </c:valAx>
      <c:spPr>
        <a:solidFill>
          <a:srgbClr val="FFFFFF"/>
        </a:solidFill>
        <a:ln w="12700">
          <a:solidFill>
            <a:srgbClr val="000000"/>
          </a:solidFill>
        </a:ln>
      </c:spPr>
    </c:plotArea>
    <c:legend>
      <c:legendPos val="r"/>
      <c:layout>
        <c:manualLayout>
          <c:xMode val="edge"/>
          <c:yMode val="edge"/>
          <c:x val="0.62725"/>
          <c:y val="0.34775"/>
          <c:w val="0.27525"/>
          <c:h val="0.289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514350</xdr:colOff>
      <xdr:row>23</xdr:row>
      <xdr:rowOff>104775</xdr:rowOff>
    </xdr:from>
    <xdr:to>
      <xdr:col>13</xdr:col>
      <xdr:colOff>219075</xdr:colOff>
      <xdr:row>46</xdr:row>
      <xdr:rowOff>28575</xdr:rowOff>
    </xdr:to>
    <xdr:graphicFrame>
      <xdr:nvGraphicFramePr>
        <xdr:cNvPr id="1" name="Chart 1"/>
        <xdr:cNvGraphicFramePr/>
      </xdr:nvGraphicFramePr>
      <xdr:xfrm>
        <a:off x="3419475" y="3762375"/>
        <a:ext cx="3305175" cy="2990850"/>
      </xdr:xfrm>
      <a:graphic>
        <a:graphicData uri="http://schemas.openxmlformats.org/drawingml/2006/chart">
          <c:chart xmlns:c="http://schemas.openxmlformats.org/drawingml/2006/chart" r:id="rId1"/>
        </a:graphicData>
      </a:graphic>
    </xdr:graphicFrame>
    <xdr:clientData/>
  </xdr:twoCellAnchor>
  <xdr:twoCellAnchor>
    <xdr:from>
      <xdr:col>6</xdr:col>
      <xdr:colOff>447675</xdr:colOff>
      <xdr:row>0</xdr:row>
      <xdr:rowOff>142875</xdr:rowOff>
    </xdr:from>
    <xdr:to>
      <xdr:col>13</xdr:col>
      <xdr:colOff>219075</xdr:colOff>
      <xdr:row>22</xdr:row>
      <xdr:rowOff>95250</xdr:rowOff>
    </xdr:to>
    <xdr:grpSp>
      <xdr:nvGrpSpPr>
        <xdr:cNvPr id="2" name="Group 7"/>
        <xdr:cNvGrpSpPr>
          <a:grpSpLocks/>
        </xdr:cNvGrpSpPr>
      </xdr:nvGrpSpPr>
      <xdr:grpSpPr>
        <a:xfrm>
          <a:off x="3352800" y="142875"/>
          <a:ext cx="3371850" cy="3457575"/>
          <a:chOff x="3940685" y="3497645"/>
          <a:chExt cx="4455583" cy="3110065"/>
        </a:xfrm>
        <a:solidFill>
          <a:srgbClr val="FFFFFF"/>
        </a:solidFill>
      </xdr:grpSpPr>
      <xdr:pic>
        <xdr:nvPicPr>
          <xdr:cNvPr id="3" name="Picture 3" descr="TI121_CMRR.png"/>
          <xdr:cNvPicPr preferRelativeResize="1">
            <a:picLocks noChangeAspect="1"/>
          </xdr:cNvPicPr>
        </xdr:nvPicPr>
        <xdr:blipFill>
          <a:blip r:embed="rId2"/>
          <a:srcRect l="3541" t="14970" r="1179" b="1496"/>
          <a:stretch>
            <a:fillRect/>
          </a:stretch>
        </xdr:blipFill>
        <xdr:spPr>
          <a:xfrm>
            <a:off x="4102200" y="3750338"/>
            <a:ext cx="4132553" cy="2857372"/>
          </a:xfrm>
          <a:prstGeom prst="rect">
            <a:avLst/>
          </a:prstGeom>
          <a:noFill/>
          <a:ln w="9525" cmpd="sng">
            <a:noFill/>
          </a:ln>
        </xdr:spPr>
      </xdr:pic>
      <xdr:sp>
        <xdr:nvSpPr>
          <xdr:cNvPr id="4" name="TextBox 4"/>
          <xdr:cNvSpPr txBox="1">
            <a:spLocks noChangeArrowheads="1"/>
          </xdr:cNvSpPr>
        </xdr:nvSpPr>
        <xdr:spPr>
          <a:xfrm>
            <a:off x="3940685" y="3497645"/>
            <a:ext cx="4455583" cy="248028"/>
          </a:xfrm>
          <a:prstGeom prst="rect">
            <a:avLst/>
          </a:prstGeom>
          <a:solidFill>
            <a:srgbClr val="FFFFFF"/>
          </a:solidFill>
          <a:ln w="9525" cmpd="sng">
            <a:noFill/>
          </a:ln>
        </xdr:spPr>
        <xdr:txBody>
          <a:bodyPr vertOverflow="clip" wrap="square" lIns="91440" tIns="45720" rIns="91440" bIns="45720"/>
          <a:p>
            <a:pPr algn="ctr">
              <a:defRPr/>
            </a:pPr>
            <a:r>
              <a:rPr lang="en-US" cap="none" sz="1100" b="0" i="0" u="none" baseline="0">
                <a:solidFill>
                  <a:srgbClr val="000000"/>
                </a:solidFill>
                <a:latin typeface="Arial"/>
                <a:ea typeface="Arial"/>
                <a:cs typeface="Arial"/>
              </a:rPr>
              <a:t>Original datasheet Plot: TI INA121 CMR </a:t>
            </a:r>
          </a:p>
        </xdr:txBody>
      </xdr:sp>
    </xdr:grpSp>
    <xdr:clientData/>
  </xdr:twoCellAnchor>
  <xdr:twoCellAnchor>
    <xdr:from>
      <xdr:col>1</xdr:col>
      <xdr:colOff>19050</xdr:colOff>
      <xdr:row>0</xdr:row>
      <xdr:rowOff>304800</xdr:rowOff>
    </xdr:from>
    <xdr:to>
      <xdr:col>6</xdr:col>
      <xdr:colOff>342900</xdr:colOff>
      <xdr:row>8</xdr:row>
      <xdr:rowOff>66675</xdr:rowOff>
    </xdr:to>
    <xdr:sp>
      <xdr:nvSpPr>
        <xdr:cNvPr id="5" name="TextBox 6"/>
        <xdr:cNvSpPr txBox="1">
          <a:spLocks noChangeArrowheads="1"/>
        </xdr:cNvSpPr>
      </xdr:nvSpPr>
      <xdr:spPr>
        <a:xfrm>
          <a:off x="180975" y="304800"/>
          <a:ext cx="3067050" cy="113347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converts graphical CMR data into numerical CMR data for further simulation.</a:t>
          </a:r>
          <a:r>
            <a:rPr lang="en-US" cap="none" sz="900" b="0" i="0" u="none" baseline="0">
              <a:solidFill>
                <a:srgbClr val="000000"/>
              </a:solidFill>
              <a:latin typeface="Arial"/>
              <a:ea typeface="Arial"/>
              <a:cs typeface="Arial"/>
            </a:rPr>
            <a:t> Physical m</a:t>
          </a:r>
          <a:r>
            <a:rPr lang="en-US" cap="none" sz="900" b="0" i="0" u="none" baseline="0">
              <a:solidFill>
                <a:srgbClr val="000000"/>
              </a:solidFill>
              <a:latin typeface="Arial"/>
              <a:ea typeface="Arial"/>
              <a:cs typeface="Arial"/>
            </a:rPr>
            <a:t>easurements taken from an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enlarged </a:t>
          </a:r>
          <a:r>
            <a:rPr lang="en-US" cap="none" sz="900" b="0" i="0" u="none" baseline="0">
              <a:solidFill>
                <a:srgbClr val="000000"/>
              </a:solidFill>
              <a:latin typeface="Arial"/>
              <a:ea typeface="Arial"/>
              <a:cs typeface="Arial"/>
            </a:rPr>
            <a:t>datasheet </a:t>
          </a:r>
          <a:r>
            <a:rPr lang="en-US" cap="none" sz="900" b="0" i="0" u="none" baseline="0">
              <a:solidFill>
                <a:srgbClr val="000000"/>
              </a:solidFill>
              <a:latin typeface="Arial"/>
              <a:ea typeface="Arial"/>
              <a:cs typeface="Arial"/>
            </a:rPr>
            <a:t>plot for a TI INA121</a:t>
          </a:r>
          <a:r>
            <a:rPr lang="en-US" cap="none" sz="900" b="0" i="0" u="none" baseline="0">
              <a:solidFill>
                <a:srgbClr val="000000"/>
              </a:solidFill>
              <a:latin typeface="Arial"/>
              <a:ea typeface="Arial"/>
              <a:cs typeface="Arial"/>
            </a:rPr>
            <a:t> are</a:t>
          </a:r>
          <a:r>
            <a:rPr lang="en-US" cap="none" sz="900" b="0" i="0" u="none" baseline="0">
              <a:solidFill>
                <a:srgbClr val="000000"/>
              </a:solidFill>
              <a:latin typeface="Arial"/>
              <a:ea typeface="Arial"/>
              <a:cs typeface="Arial"/>
            </a:rPr>
            <a:t> entered in the yellow cells and dB data is returned in the green cells based on</a:t>
          </a:r>
          <a:r>
            <a:rPr lang="en-US" cap="none" sz="900" b="0" i="0" u="none" baseline="0">
              <a:solidFill>
                <a:srgbClr val="000000"/>
              </a:solidFill>
              <a:latin typeface="Arial"/>
              <a:ea typeface="Arial"/>
              <a:cs typeface="Arial"/>
            </a:rPr>
            <a:t> the</a:t>
          </a:r>
          <a:r>
            <a:rPr lang="en-US" cap="none" sz="900" b="0" i="0" u="none" baseline="0">
              <a:solidFill>
                <a:srgbClr val="000000"/>
              </a:solidFill>
              <a:latin typeface="Arial"/>
              <a:ea typeface="Arial"/>
              <a:cs typeface="Arial"/>
            </a:rPr>
            <a:t> mm/db ratio</a:t>
          </a:r>
          <a:r>
            <a:rPr lang="en-US" cap="none" sz="900" b="0" i="0" u="none" baseline="0">
              <a:solidFill>
                <a:srgbClr val="000000"/>
              </a:solidFill>
              <a:latin typeface="Arial"/>
              <a:ea typeface="Arial"/>
              <a:cs typeface="Arial"/>
            </a:rPr>
            <a:t> of the plot (see Eq. 2 of Appendix.) Numerical data is replotted in red for a visual confirmation.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0</xdr:rowOff>
    </xdr:from>
    <xdr:to>
      <xdr:col>15</xdr:col>
      <xdr:colOff>371475</xdr:colOff>
      <xdr:row>38</xdr:row>
      <xdr:rowOff>0</xdr:rowOff>
    </xdr:to>
    <xdr:graphicFrame>
      <xdr:nvGraphicFramePr>
        <xdr:cNvPr id="1" name="Chart 10"/>
        <xdr:cNvGraphicFramePr/>
      </xdr:nvGraphicFramePr>
      <xdr:xfrm>
        <a:off x="3305175" y="2428875"/>
        <a:ext cx="4162425" cy="35052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xdr:row>
      <xdr:rowOff>28575</xdr:rowOff>
    </xdr:from>
    <xdr:to>
      <xdr:col>12</xdr:col>
      <xdr:colOff>47625</xdr:colOff>
      <xdr:row>6</xdr:row>
      <xdr:rowOff>85725</xdr:rowOff>
    </xdr:to>
    <xdr:sp>
      <xdr:nvSpPr>
        <xdr:cNvPr id="2" name="TextBox 9"/>
        <xdr:cNvSpPr txBox="1">
          <a:spLocks noChangeArrowheads="1"/>
        </xdr:cNvSpPr>
      </xdr:nvSpPr>
      <xdr:spPr>
        <a:xfrm>
          <a:off x="171450" y="333375"/>
          <a:ext cx="5486400" cy="8096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calculates and plots Instrumentation Amplifier output results based on a 1V common mode input.
</a:t>
          </a:r>
          <a:r>
            <a:rPr lang="en-US" cap="none" sz="900" b="0" i="0" u="none" baseline="0">
              <a:solidFill>
                <a:srgbClr val="000000"/>
              </a:solidFill>
              <a:latin typeface="Arial"/>
              <a:ea typeface="Arial"/>
              <a:cs typeface="Arial"/>
            </a:rPr>
            <a:t> Calculator#2 below plots an alternate filter design. Both unfiltered and filtered signals are plotted and the single pole input filter frequency may be changed. The CMRR and amplifier gain may be changed to reflect other devices. 
</a:t>
          </a:r>
          <a:r>
            <a:rPr lang="en-US" cap="none" sz="900" b="0" i="0" u="none" baseline="0">
              <a:solidFill>
                <a:srgbClr val="000000"/>
              </a:solidFill>
              <a:latin typeface="Arial"/>
              <a:ea typeface="Arial"/>
              <a:cs typeface="Arial"/>
            </a:rPr>
            <a:t>Equations from the white paper are referenced.
</a:t>
          </a:r>
          <a:r>
            <a:rPr lang="en-US" cap="none" sz="900" b="0" i="0" u="none" baseline="0">
              <a:solidFill>
                <a:srgbClr val="000000"/>
              </a:solidFill>
              <a:latin typeface="Arial"/>
              <a:ea typeface="Arial"/>
              <a:cs typeface="Arial"/>
            </a:rPr>
            <a:t>Yellow cells may be changed, green cells are calculated results.</a:t>
          </a:r>
        </a:p>
      </xdr:txBody>
    </xdr:sp>
    <xdr:clientData/>
  </xdr:twoCellAnchor>
  <xdr:twoCellAnchor>
    <xdr:from>
      <xdr:col>7</xdr:col>
      <xdr:colOff>133350</xdr:colOff>
      <xdr:row>57</xdr:row>
      <xdr:rowOff>9525</xdr:rowOff>
    </xdr:from>
    <xdr:to>
      <xdr:col>15</xdr:col>
      <xdr:colOff>333375</xdr:colOff>
      <xdr:row>80</xdr:row>
      <xdr:rowOff>9525</xdr:rowOff>
    </xdr:to>
    <xdr:graphicFrame>
      <xdr:nvGraphicFramePr>
        <xdr:cNvPr id="3" name="Chart 10"/>
        <xdr:cNvGraphicFramePr/>
      </xdr:nvGraphicFramePr>
      <xdr:xfrm>
        <a:off x="3267075" y="9001125"/>
        <a:ext cx="4162425"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24</xdr:row>
      <xdr:rowOff>9525</xdr:rowOff>
    </xdr:from>
    <xdr:to>
      <xdr:col>16</xdr:col>
      <xdr:colOff>952500</xdr:colOff>
      <xdr:row>41</xdr:row>
      <xdr:rowOff>142875</xdr:rowOff>
    </xdr:to>
    <xdr:graphicFrame>
      <xdr:nvGraphicFramePr>
        <xdr:cNvPr id="1" name="Chart 2"/>
        <xdr:cNvGraphicFramePr/>
      </xdr:nvGraphicFramePr>
      <xdr:xfrm>
        <a:off x="4791075" y="3781425"/>
        <a:ext cx="3248025" cy="2724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0</xdr:rowOff>
    </xdr:from>
    <xdr:to>
      <xdr:col>16</xdr:col>
      <xdr:colOff>209550</xdr:colOff>
      <xdr:row>6</xdr:row>
      <xdr:rowOff>57150</xdr:rowOff>
    </xdr:to>
    <xdr:sp>
      <xdr:nvSpPr>
        <xdr:cNvPr id="2" name="TextBox 1"/>
        <xdr:cNvSpPr txBox="1">
          <a:spLocks noChangeArrowheads="1"/>
        </xdr:cNvSpPr>
      </xdr:nvSpPr>
      <xdr:spPr>
        <a:xfrm>
          <a:off x="161925" y="304800"/>
          <a:ext cx="7134225" cy="800100"/>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calculates and plots output error results due to unequal input filter time constants based on a 1V common mode input. The theoretical minimum value X capacitor (Cx) needed to attenuate this error is calculated based on Peak Error, Peak Error Frequency, and Desired Error entered from the red cells in the CM Error Calc table. Resulting system bandwidth is also calculated. (Blue cell values are imported from Filter Calculator#1.  Yellow cells may be changed, green cells are calculated results.)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O51"/>
  <sheetViews>
    <sheetView workbookViewId="0" topLeftCell="A1">
      <selection activeCell="R24" sqref="R24"/>
    </sheetView>
  </sheetViews>
  <sheetFormatPr defaultColWidth="7.7109375" defaultRowHeight="12.75"/>
  <cols>
    <col min="1" max="1" width="2.421875" style="4" customWidth="1"/>
    <col min="2" max="2" width="7.7109375" style="4" customWidth="1"/>
    <col min="3" max="3" width="10.28125" style="4" bestFit="1" customWidth="1"/>
    <col min="4" max="15" width="7.7109375" style="4" customWidth="1"/>
    <col min="16" max="16" width="7.00390625" style="4" customWidth="1"/>
    <col min="17" max="16384" width="7.7109375" style="4" customWidth="1"/>
  </cols>
  <sheetData>
    <row r="1" spans="2:14" ht="24" customHeight="1">
      <c r="B1" s="143" t="s">
        <v>54</v>
      </c>
      <c r="C1" s="144"/>
      <c r="D1" s="144"/>
      <c r="E1" s="144"/>
      <c r="F1" s="144"/>
      <c r="G1" s="144"/>
      <c r="H1" s="21"/>
      <c r="I1" s="21"/>
      <c r="J1" s="21"/>
      <c r="K1" s="21"/>
      <c r="L1" s="21"/>
      <c r="M1" s="21"/>
      <c r="N1" s="21"/>
    </row>
    <row r="2" spans="2:14" ht="12">
      <c r="B2" s="14"/>
      <c r="C2" s="14"/>
      <c r="D2" s="14"/>
      <c r="E2" s="14"/>
      <c r="F2" s="14"/>
      <c r="G2" s="14"/>
      <c r="H2" s="14"/>
      <c r="I2" s="14"/>
      <c r="J2" s="14"/>
      <c r="K2" s="14"/>
      <c r="L2" s="14"/>
      <c r="M2" s="14"/>
      <c r="N2" s="14"/>
    </row>
    <row r="3" spans="2:14" ht="12">
      <c r="B3" s="14"/>
      <c r="C3" s="14"/>
      <c r="D3" s="14"/>
      <c r="E3" s="14"/>
      <c r="F3" s="14"/>
      <c r="G3" s="14"/>
      <c r="H3" s="14"/>
      <c r="I3" s="14"/>
      <c r="J3" s="14"/>
      <c r="K3" s="14"/>
      <c r="L3" s="14"/>
      <c r="M3" s="14"/>
      <c r="N3" s="14"/>
    </row>
    <row r="4" spans="2:14" ht="12">
      <c r="B4" s="14"/>
      <c r="C4" s="14"/>
      <c r="D4" s="14"/>
      <c r="E4" s="14"/>
      <c r="F4" s="14"/>
      <c r="G4" s="14"/>
      <c r="H4" s="14"/>
      <c r="I4" s="14"/>
      <c r="J4" s="14"/>
      <c r="K4" s="14"/>
      <c r="L4" s="14"/>
      <c r="M4" s="14"/>
      <c r="N4" s="14"/>
    </row>
    <row r="5" spans="2:14" ht="12">
      <c r="B5" s="14"/>
      <c r="C5" s="14"/>
      <c r="D5" s="14"/>
      <c r="E5" s="14"/>
      <c r="F5" s="14"/>
      <c r="G5" s="14"/>
      <c r="H5" s="14"/>
      <c r="I5" s="14"/>
      <c r="J5" s="14"/>
      <c r="K5" s="14"/>
      <c r="L5" s="14"/>
      <c r="M5" s="14"/>
      <c r="N5" s="14"/>
    </row>
    <row r="6" spans="2:14" ht="12">
      <c r="B6" s="14"/>
      <c r="C6" s="14"/>
      <c r="D6" s="14"/>
      <c r="E6" s="14"/>
      <c r="F6" s="14"/>
      <c r="G6" s="14"/>
      <c r="H6" s="14"/>
      <c r="I6" s="14"/>
      <c r="J6" s="14"/>
      <c r="K6" s="14"/>
      <c r="L6" s="14"/>
      <c r="M6" s="14"/>
      <c r="N6" s="14"/>
    </row>
    <row r="7" spans="2:14" ht="12">
      <c r="B7" s="14"/>
      <c r="C7" s="14"/>
      <c r="D7" s="14"/>
      <c r="E7" s="14"/>
      <c r="F7" s="14"/>
      <c r="G7" s="14"/>
      <c r="H7" s="14"/>
      <c r="I7" s="14"/>
      <c r="J7" s="14"/>
      <c r="K7" s="14"/>
      <c r="L7" s="14"/>
      <c r="M7" s="14"/>
      <c r="N7" s="14"/>
    </row>
    <row r="8" spans="2:14" ht="12">
      <c r="B8" s="14"/>
      <c r="C8" s="14"/>
      <c r="D8" s="14"/>
      <c r="E8" s="14"/>
      <c r="F8" s="14"/>
      <c r="G8" s="14"/>
      <c r="H8" s="14"/>
      <c r="I8" s="14"/>
      <c r="J8" s="14"/>
      <c r="K8" s="14"/>
      <c r="L8" s="14"/>
      <c r="M8" s="14"/>
      <c r="N8" s="14"/>
    </row>
    <row r="9" spans="2:14" ht="12">
      <c r="B9" s="14"/>
      <c r="C9" s="14"/>
      <c r="D9" s="14"/>
      <c r="E9" s="14"/>
      <c r="F9" s="14"/>
      <c r="G9" s="14"/>
      <c r="H9" s="14"/>
      <c r="I9" s="14"/>
      <c r="J9" s="14"/>
      <c r="K9" s="14"/>
      <c r="L9" s="14"/>
      <c r="M9" s="14"/>
      <c r="N9" s="14"/>
    </row>
    <row r="10" spans="2:14" ht="12">
      <c r="B10" s="14"/>
      <c r="C10" s="14"/>
      <c r="D10" s="18" t="s">
        <v>80</v>
      </c>
      <c r="E10" s="19"/>
      <c r="F10" s="20"/>
      <c r="G10" s="14"/>
      <c r="H10" s="14"/>
      <c r="I10" s="14"/>
      <c r="J10" s="14"/>
      <c r="K10" s="14"/>
      <c r="L10" s="14"/>
      <c r="M10" s="14"/>
      <c r="N10" s="14"/>
    </row>
    <row r="11" spans="2:14" ht="12">
      <c r="B11" s="14"/>
      <c r="C11" s="14"/>
      <c r="D11" s="15" t="s">
        <v>13</v>
      </c>
      <c r="E11" s="15" t="s">
        <v>12</v>
      </c>
      <c r="F11" s="15" t="s">
        <v>14</v>
      </c>
      <c r="G11" s="14"/>
      <c r="H11" s="14"/>
      <c r="I11" s="14"/>
      <c r="J11" s="14"/>
      <c r="K11" s="14"/>
      <c r="L11" s="14"/>
      <c r="M11" s="14"/>
      <c r="N11" s="14"/>
    </row>
    <row r="12" spans="2:14" ht="12">
      <c r="B12" s="14"/>
      <c r="C12" s="14"/>
      <c r="D12" s="12">
        <v>20</v>
      </c>
      <c r="E12" s="12">
        <v>25.5</v>
      </c>
      <c r="F12" s="13">
        <f>D12/E12</f>
        <v>0.7843137254901961</v>
      </c>
      <c r="G12" s="14"/>
      <c r="H12" s="14"/>
      <c r="I12" s="14"/>
      <c r="J12" s="14"/>
      <c r="K12" s="14"/>
      <c r="L12" s="14"/>
      <c r="M12" s="14"/>
      <c r="N12" s="14"/>
    </row>
    <row r="13" spans="2:14" ht="12">
      <c r="B13" s="14"/>
      <c r="C13" s="14"/>
      <c r="G13" s="14"/>
      <c r="H13" s="14"/>
      <c r="I13" s="14"/>
      <c r="J13" s="14"/>
      <c r="K13" s="14"/>
      <c r="L13" s="14"/>
      <c r="M13" s="14"/>
      <c r="N13" s="14"/>
    </row>
    <row r="14" spans="2:14" ht="12">
      <c r="B14" s="14"/>
      <c r="C14" s="16" t="s">
        <v>79</v>
      </c>
      <c r="D14" s="2" t="s">
        <v>16</v>
      </c>
      <c r="E14" s="2" t="s">
        <v>10</v>
      </c>
      <c r="F14" s="9" t="s">
        <v>15</v>
      </c>
      <c r="G14" s="14"/>
      <c r="H14" s="14"/>
      <c r="I14" s="14"/>
      <c r="J14" s="14"/>
      <c r="K14" s="14"/>
      <c r="L14" s="14"/>
      <c r="M14" s="14"/>
      <c r="N14" s="14"/>
    </row>
    <row r="15" spans="2:14" ht="12">
      <c r="B15" s="14"/>
      <c r="C15" s="17">
        <v>10</v>
      </c>
      <c r="D15" s="10">
        <v>100</v>
      </c>
      <c r="E15" s="10">
        <v>8</v>
      </c>
      <c r="F15" s="11">
        <f aca="true" t="shared" si="0" ref="F15:F46">D15+E15*F$12</f>
        <v>106.27450980392157</v>
      </c>
      <c r="G15" s="14"/>
      <c r="H15" s="14"/>
      <c r="I15" s="14"/>
      <c r="J15" s="14"/>
      <c r="K15" s="14"/>
      <c r="L15" s="14"/>
      <c r="M15" s="14"/>
      <c r="N15" s="14"/>
    </row>
    <row r="16" spans="2:14" ht="12">
      <c r="B16" s="14"/>
      <c r="C16" s="17">
        <v>30</v>
      </c>
      <c r="D16" s="10">
        <v>100</v>
      </c>
      <c r="E16" s="10">
        <v>8</v>
      </c>
      <c r="F16" s="11">
        <f t="shared" si="0"/>
        <v>106.27450980392157</v>
      </c>
      <c r="G16" s="14"/>
      <c r="H16" s="14"/>
      <c r="I16" s="14"/>
      <c r="J16" s="14"/>
      <c r="K16" s="14"/>
      <c r="L16" s="14"/>
      <c r="M16" s="14"/>
      <c r="N16" s="14"/>
    </row>
    <row r="17" spans="2:14" ht="12">
      <c r="B17" s="14"/>
      <c r="C17" s="17">
        <v>60</v>
      </c>
      <c r="D17" s="10">
        <v>100</v>
      </c>
      <c r="E17" s="10">
        <v>8</v>
      </c>
      <c r="F17" s="11">
        <f t="shared" si="0"/>
        <v>106.27450980392157</v>
      </c>
      <c r="G17" s="14"/>
      <c r="H17" s="14"/>
      <c r="I17" s="14"/>
      <c r="J17" s="14"/>
      <c r="K17" s="14"/>
      <c r="L17" s="14"/>
      <c r="M17" s="14"/>
      <c r="N17" s="14"/>
    </row>
    <row r="18" spans="2:14" ht="12">
      <c r="B18" s="14"/>
      <c r="C18" s="17">
        <v>100</v>
      </c>
      <c r="D18" s="10">
        <v>100</v>
      </c>
      <c r="E18" s="10">
        <v>8</v>
      </c>
      <c r="F18" s="11">
        <f t="shared" si="0"/>
        <v>106.27450980392157</v>
      </c>
      <c r="G18" s="14"/>
      <c r="H18" s="14"/>
      <c r="I18" s="14"/>
      <c r="J18" s="14"/>
      <c r="K18" s="14"/>
      <c r="L18" s="14"/>
      <c r="M18" s="14"/>
      <c r="N18" s="14"/>
    </row>
    <row r="19" spans="2:14" ht="12">
      <c r="B19" s="14"/>
      <c r="C19" s="17">
        <v>200</v>
      </c>
      <c r="D19" s="10">
        <v>100</v>
      </c>
      <c r="E19" s="10">
        <v>8</v>
      </c>
      <c r="F19" s="11">
        <f t="shared" si="0"/>
        <v>106.27450980392157</v>
      </c>
      <c r="G19" s="14"/>
      <c r="H19" s="14"/>
      <c r="I19" s="14"/>
      <c r="J19" s="14"/>
      <c r="K19" s="14"/>
      <c r="L19" s="14"/>
      <c r="M19" s="14"/>
      <c r="N19" s="14"/>
    </row>
    <row r="20" spans="2:14" ht="12">
      <c r="B20" s="14"/>
      <c r="C20" s="17">
        <v>300</v>
      </c>
      <c r="D20" s="10">
        <v>100</v>
      </c>
      <c r="E20" s="10">
        <v>7.9</v>
      </c>
      <c r="F20" s="11">
        <f t="shared" si="0"/>
        <v>106.19607843137256</v>
      </c>
      <c r="G20" s="14"/>
      <c r="H20" s="14"/>
      <c r="I20" s="14"/>
      <c r="J20" s="14"/>
      <c r="K20" s="14"/>
      <c r="L20" s="14"/>
      <c r="M20" s="14"/>
      <c r="N20" s="14"/>
    </row>
    <row r="21" spans="2:14" ht="12">
      <c r="B21" s="14"/>
      <c r="C21" s="17">
        <v>400</v>
      </c>
      <c r="D21" s="10">
        <v>100</v>
      </c>
      <c r="E21" s="10">
        <v>7</v>
      </c>
      <c r="F21" s="11">
        <f t="shared" si="0"/>
        <v>105.49019607843137</v>
      </c>
      <c r="G21" s="14"/>
      <c r="H21" s="14"/>
      <c r="I21" s="14"/>
      <c r="J21" s="14"/>
      <c r="K21" s="14"/>
      <c r="L21" s="14"/>
      <c r="M21" s="14"/>
      <c r="N21" s="14"/>
    </row>
    <row r="22" spans="2:14" ht="12">
      <c r="B22" s="14"/>
      <c r="C22" s="17">
        <v>500</v>
      </c>
      <c r="D22" s="10">
        <v>100</v>
      </c>
      <c r="E22" s="10">
        <v>5</v>
      </c>
      <c r="F22" s="11">
        <f t="shared" si="0"/>
        <v>103.92156862745098</v>
      </c>
      <c r="G22" s="14"/>
      <c r="H22" s="14"/>
      <c r="I22" s="14"/>
      <c r="J22" s="14"/>
      <c r="K22" s="14"/>
      <c r="L22" s="14"/>
      <c r="M22" s="14"/>
      <c r="N22" s="14"/>
    </row>
    <row r="23" spans="2:14" ht="12">
      <c r="B23" s="14"/>
      <c r="C23" s="17">
        <v>600</v>
      </c>
      <c r="D23" s="10">
        <v>100</v>
      </c>
      <c r="E23" s="10">
        <v>3</v>
      </c>
      <c r="F23" s="11">
        <f t="shared" si="0"/>
        <v>102.3529411764706</v>
      </c>
      <c r="G23" s="14"/>
      <c r="H23" s="14"/>
      <c r="I23" s="14"/>
      <c r="J23" s="14"/>
      <c r="K23" s="14"/>
      <c r="L23" s="14"/>
      <c r="M23" s="14"/>
      <c r="N23" s="14"/>
    </row>
    <row r="24" spans="2:14" ht="10.5">
      <c r="B24" s="14"/>
      <c r="C24" s="17">
        <v>700</v>
      </c>
      <c r="D24" s="10">
        <v>100</v>
      </c>
      <c r="E24" s="10">
        <v>1.5</v>
      </c>
      <c r="F24" s="11">
        <f t="shared" si="0"/>
        <v>101.17647058823529</v>
      </c>
      <c r="G24" s="14"/>
      <c r="H24" s="14"/>
      <c r="I24" s="14"/>
      <c r="J24" s="14"/>
      <c r="K24" s="14"/>
      <c r="L24" s="14"/>
      <c r="M24" s="14"/>
      <c r="N24" s="14"/>
    </row>
    <row r="25" spans="2:14" ht="10.5">
      <c r="B25" s="14"/>
      <c r="C25" s="17">
        <v>800</v>
      </c>
      <c r="D25" s="10">
        <v>100</v>
      </c>
      <c r="E25" s="10">
        <v>0</v>
      </c>
      <c r="F25" s="11">
        <f t="shared" si="0"/>
        <v>100</v>
      </c>
      <c r="G25" s="14"/>
      <c r="H25" s="14"/>
      <c r="I25" s="14"/>
      <c r="J25" s="14"/>
      <c r="K25" s="14"/>
      <c r="L25" s="14"/>
      <c r="M25" s="14"/>
      <c r="N25" s="14"/>
    </row>
    <row r="26" spans="2:14" ht="10.5">
      <c r="B26" s="14"/>
      <c r="C26" s="17">
        <v>900</v>
      </c>
      <c r="D26" s="10">
        <v>80</v>
      </c>
      <c r="E26" s="10">
        <v>24.2</v>
      </c>
      <c r="F26" s="11">
        <f t="shared" si="0"/>
        <v>98.98039215686275</v>
      </c>
      <c r="G26" s="14"/>
      <c r="H26" s="14"/>
      <c r="I26" s="14"/>
      <c r="J26" s="14"/>
      <c r="K26" s="14"/>
      <c r="L26" s="14"/>
      <c r="M26" s="14"/>
      <c r="N26" s="14"/>
    </row>
    <row r="27" spans="2:14" ht="10.5">
      <c r="B27" s="14"/>
      <c r="C27" s="17">
        <v>1000</v>
      </c>
      <c r="D27" s="10">
        <v>80</v>
      </c>
      <c r="E27" s="10">
        <v>23</v>
      </c>
      <c r="F27" s="11">
        <f t="shared" si="0"/>
        <v>98.0392156862745</v>
      </c>
      <c r="G27" s="14"/>
      <c r="H27" s="14"/>
      <c r="I27" s="14"/>
      <c r="J27" s="14"/>
      <c r="K27" s="14"/>
      <c r="L27" s="14"/>
      <c r="M27" s="14"/>
      <c r="N27" s="14"/>
    </row>
    <row r="28" spans="2:14" ht="10.5">
      <c r="B28" s="14"/>
      <c r="C28" s="17">
        <v>2000</v>
      </c>
      <c r="D28" s="10">
        <v>80</v>
      </c>
      <c r="E28" s="10">
        <v>15.5</v>
      </c>
      <c r="F28" s="11">
        <f t="shared" si="0"/>
        <v>92.15686274509804</v>
      </c>
      <c r="G28" s="14"/>
      <c r="H28" s="14"/>
      <c r="I28" s="14"/>
      <c r="J28" s="14"/>
      <c r="K28" s="14"/>
      <c r="L28" s="14"/>
      <c r="M28" s="14"/>
      <c r="N28" s="14"/>
    </row>
    <row r="29" spans="2:14" ht="10.5">
      <c r="B29" s="14"/>
      <c r="C29" s="17">
        <v>3000</v>
      </c>
      <c r="D29" s="10">
        <v>80</v>
      </c>
      <c r="E29" s="10">
        <v>11</v>
      </c>
      <c r="F29" s="11">
        <f t="shared" si="0"/>
        <v>88.62745098039215</v>
      </c>
      <c r="G29" s="14"/>
      <c r="H29" s="14"/>
      <c r="I29" s="14"/>
      <c r="J29" s="14"/>
      <c r="K29" s="14"/>
      <c r="L29" s="14"/>
      <c r="M29" s="14"/>
      <c r="N29" s="14"/>
    </row>
    <row r="30" spans="2:14" ht="10.5">
      <c r="B30" s="14"/>
      <c r="C30" s="17">
        <v>4000</v>
      </c>
      <c r="D30" s="10">
        <v>80</v>
      </c>
      <c r="E30" s="10">
        <v>7.8</v>
      </c>
      <c r="F30" s="11">
        <f t="shared" si="0"/>
        <v>86.11764705882354</v>
      </c>
      <c r="G30" s="14"/>
      <c r="H30" s="14"/>
      <c r="I30" s="14"/>
      <c r="J30" s="14"/>
      <c r="K30" s="14"/>
      <c r="L30" s="14"/>
      <c r="M30" s="14"/>
      <c r="N30" s="14"/>
    </row>
    <row r="31" spans="2:14" ht="10.5">
      <c r="B31" s="14"/>
      <c r="C31" s="17">
        <v>5000</v>
      </c>
      <c r="D31" s="10">
        <v>80</v>
      </c>
      <c r="E31" s="10">
        <v>5.3</v>
      </c>
      <c r="F31" s="11">
        <f t="shared" si="0"/>
        <v>84.15686274509804</v>
      </c>
      <c r="G31" s="14"/>
      <c r="H31" s="14"/>
      <c r="I31" s="14"/>
      <c r="J31" s="14"/>
      <c r="K31" s="14"/>
      <c r="L31" s="14"/>
      <c r="M31" s="14"/>
      <c r="N31" s="14"/>
    </row>
    <row r="32" spans="2:14" ht="10.5">
      <c r="B32" s="14"/>
      <c r="C32" s="17">
        <v>6000</v>
      </c>
      <c r="D32" s="10">
        <v>80</v>
      </c>
      <c r="E32" s="10">
        <v>3.22</v>
      </c>
      <c r="F32" s="11">
        <f t="shared" si="0"/>
        <v>82.52549019607844</v>
      </c>
      <c r="G32" s="14"/>
      <c r="H32" s="14"/>
      <c r="I32" s="14"/>
      <c r="J32" s="14"/>
      <c r="K32" s="14"/>
      <c r="L32" s="14"/>
      <c r="M32" s="14"/>
      <c r="N32" s="14"/>
    </row>
    <row r="33" spans="2:14" ht="10.5">
      <c r="B33" s="14"/>
      <c r="C33" s="17">
        <v>7000</v>
      </c>
      <c r="D33" s="10">
        <v>80</v>
      </c>
      <c r="E33" s="10">
        <v>1.5</v>
      </c>
      <c r="F33" s="11">
        <f t="shared" si="0"/>
        <v>81.17647058823529</v>
      </c>
      <c r="G33" s="14"/>
      <c r="H33" s="14"/>
      <c r="I33" s="14"/>
      <c r="J33" s="14"/>
      <c r="K33" s="14"/>
      <c r="L33" s="14"/>
      <c r="M33" s="14"/>
      <c r="N33" s="14"/>
    </row>
    <row r="34" spans="2:14" ht="10.5">
      <c r="B34" s="14"/>
      <c r="C34" s="17">
        <v>8000</v>
      </c>
      <c r="D34" s="10">
        <v>80</v>
      </c>
      <c r="E34" s="10">
        <v>0</v>
      </c>
      <c r="F34" s="11">
        <f t="shared" si="0"/>
        <v>80</v>
      </c>
      <c r="G34" s="14"/>
      <c r="H34" s="14"/>
      <c r="I34" s="14"/>
      <c r="J34" s="14"/>
      <c r="K34" s="14"/>
      <c r="L34" s="14"/>
      <c r="M34" s="14"/>
      <c r="N34" s="14"/>
    </row>
    <row r="35" spans="2:14" ht="10.5">
      <c r="B35" s="14"/>
      <c r="C35" s="17">
        <v>9000</v>
      </c>
      <c r="D35" s="10">
        <v>60</v>
      </c>
      <c r="E35" s="10">
        <v>24.2</v>
      </c>
      <c r="F35" s="11">
        <f t="shared" si="0"/>
        <v>78.98039215686275</v>
      </c>
      <c r="G35" s="14"/>
      <c r="H35" s="14"/>
      <c r="I35" s="14"/>
      <c r="J35" s="14"/>
      <c r="K35" s="14"/>
      <c r="L35" s="14"/>
      <c r="M35" s="14"/>
      <c r="N35" s="14"/>
    </row>
    <row r="36" spans="2:14" ht="10.5">
      <c r="B36" s="14"/>
      <c r="C36" s="17">
        <v>10000</v>
      </c>
      <c r="D36" s="10">
        <v>60</v>
      </c>
      <c r="E36" s="10">
        <v>23</v>
      </c>
      <c r="F36" s="11">
        <f t="shared" si="0"/>
        <v>78.0392156862745</v>
      </c>
      <c r="G36" s="14"/>
      <c r="H36" s="14"/>
      <c r="I36" s="14"/>
      <c r="J36" s="14"/>
      <c r="K36" s="14"/>
      <c r="L36" s="14"/>
      <c r="M36" s="14"/>
      <c r="N36" s="14"/>
    </row>
    <row r="37" spans="2:14" ht="10.5">
      <c r="B37" s="14"/>
      <c r="C37" s="17">
        <v>20000</v>
      </c>
      <c r="D37" s="10">
        <v>60</v>
      </c>
      <c r="E37" s="10">
        <v>15</v>
      </c>
      <c r="F37" s="11">
        <f t="shared" si="0"/>
        <v>71.76470588235294</v>
      </c>
      <c r="G37" s="14"/>
      <c r="H37" s="14"/>
      <c r="I37" s="14"/>
      <c r="J37" s="14"/>
      <c r="K37" s="14"/>
      <c r="L37" s="14"/>
      <c r="M37" s="14"/>
      <c r="N37" s="14"/>
    </row>
    <row r="38" spans="2:14" ht="10.5">
      <c r="B38" s="14"/>
      <c r="C38" s="17">
        <v>30000</v>
      </c>
      <c r="D38" s="10">
        <v>60</v>
      </c>
      <c r="E38" s="10">
        <v>11</v>
      </c>
      <c r="F38" s="11">
        <f t="shared" si="0"/>
        <v>68.62745098039215</v>
      </c>
      <c r="G38" s="14"/>
      <c r="H38" s="14"/>
      <c r="I38" s="14"/>
      <c r="J38" s="14"/>
      <c r="K38" s="14"/>
      <c r="L38" s="14"/>
      <c r="M38" s="14"/>
      <c r="N38" s="14"/>
    </row>
    <row r="39" spans="2:14" ht="10.5">
      <c r="B39" s="14"/>
      <c r="C39" s="17">
        <v>40000</v>
      </c>
      <c r="D39" s="10">
        <v>60</v>
      </c>
      <c r="E39" s="10">
        <v>9</v>
      </c>
      <c r="F39" s="11">
        <f t="shared" si="0"/>
        <v>67.05882352941177</v>
      </c>
      <c r="G39" s="14"/>
      <c r="H39" s="14"/>
      <c r="I39" s="14"/>
      <c r="J39" s="14"/>
      <c r="K39" s="14"/>
      <c r="L39" s="14"/>
      <c r="M39" s="14"/>
      <c r="N39" s="14"/>
    </row>
    <row r="40" spans="2:14" ht="10.5">
      <c r="B40" s="14"/>
      <c r="C40" s="17">
        <v>50000</v>
      </c>
      <c r="D40" s="10">
        <v>60</v>
      </c>
      <c r="E40" s="10">
        <v>8</v>
      </c>
      <c r="F40" s="11">
        <f t="shared" si="0"/>
        <v>66.27450980392157</v>
      </c>
      <c r="G40" s="14"/>
      <c r="H40" s="14"/>
      <c r="I40" s="14"/>
      <c r="J40" s="14"/>
      <c r="K40" s="14"/>
      <c r="L40" s="14"/>
      <c r="M40" s="14"/>
      <c r="N40" s="14"/>
    </row>
    <row r="41" spans="2:14" ht="10.5">
      <c r="B41" s="14"/>
      <c r="C41" s="17">
        <v>60000</v>
      </c>
      <c r="D41" s="10">
        <v>60</v>
      </c>
      <c r="E41" s="10">
        <v>7</v>
      </c>
      <c r="F41" s="11">
        <f t="shared" si="0"/>
        <v>65.49019607843137</v>
      </c>
      <c r="G41" s="14"/>
      <c r="H41" s="14"/>
      <c r="I41" s="14"/>
      <c r="J41" s="14"/>
      <c r="K41" s="14"/>
      <c r="L41" s="14"/>
      <c r="M41" s="14"/>
      <c r="N41" s="14"/>
    </row>
    <row r="42" spans="2:14" ht="10.5">
      <c r="B42" s="14"/>
      <c r="C42" s="17">
        <v>70000</v>
      </c>
      <c r="D42" s="10">
        <v>60</v>
      </c>
      <c r="E42" s="10">
        <v>6.5</v>
      </c>
      <c r="F42" s="11">
        <f t="shared" si="0"/>
        <v>65.09803921568627</v>
      </c>
      <c r="G42" s="14"/>
      <c r="H42" s="14"/>
      <c r="I42" s="14"/>
      <c r="J42" s="14"/>
      <c r="K42" s="14"/>
      <c r="L42" s="14"/>
      <c r="M42" s="14"/>
      <c r="N42" s="14"/>
    </row>
    <row r="43" spans="2:14" ht="10.5">
      <c r="B43" s="14"/>
      <c r="C43" s="17">
        <v>80000</v>
      </c>
      <c r="D43" s="10">
        <v>60</v>
      </c>
      <c r="E43" s="10">
        <v>6</v>
      </c>
      <c r="F43" s="11">
        <f t="shared" si="0"/>
        <v>64.70588235294117</v>
      </c>
      <c r="G43" s="14"/>
      <c r="H43" s="14"/>
      <c r="I43" s="14"/>
      <c r="J43" s="14"/>
      <c r="K43" s="14"/>
      <c r="L43" s="14"/>
      <c r="M43" s="14"/>
      <c r="N43" s="14"/>
    </row>
    <row r="44" spans="2:14" ht="10.5">
      <c r="B44" s="14"/>
      <c r="C44" s="17">
        <v>90000</v>
      </c>
      <c r="D44" s="10">
        <v>60</v>
      </c>
      <c r="E44" s="10">
        <v>5.5</v>
      </c>
      <c r="F44" s="11">
        <f t="shared" si="0"/>
        <v>64.31372549019608</v>
      </c>
      <c r="G44" s="14"/>
      <c r="H44" s="14"/>
      <c r="I44" s="14"/>
      <c r="J44" s="14"/>
      <c r="K44" s="14"/>
      <c r="L44" s="14"/>
      <c r="M44" s="14"/>
      <c r="N44" s="14"/>
    </row>
    <row r="45" spans="2:14" ht="10.5">
      <c r="B45" s="14"/>
      <c r="C45" s="17">
        <v>100000</v>
      </c>
      <c r="D45" s="10">
        <v>60</v>
      </c>
      <c r="E45" s="10">
        <v>5</v>
      </c>
      <c r="F45" s="11">
        <f t="shared" si="0"/>
        <v>63.92156862745098</v>
      </c>
      <c r="G45" s="14"/>
      <c r="H45" s="14"/>
      <c r="I45" s="14"/>
      <c r="J45" s="14"/>
      <c r="K45" s="14"/>
      <c r="L45" s="14"/>
      <c r="M45" s="14"/>
      <c r="N45" s="14"/>
    </row>
    <row r="46" spans="2:14" ht="10.5">
      <c r="B46" s="14"/>
      <c r="C46" s="17">
        <v>1000000</v>
      </c>
      <c r="D46" s="10">
        <v>60</v>
      </c>
      <c r="E46" s="10">
        <v>0</v>
      </c>
      <c r="F46" s="11">
        <f t="shared" si="0"/>
        <v>60</v>
      </c>
      <c r="G46" s="14"/>
      <c r="H46" s="14"/>
      <c r="I46" s="14"/>
      <c r="J46" s="14"/>
      <c r="K46" s="14"/>
      <c r="L46" s="14"/>
      <c r="M46" s="14"/>
      <c r="N46" s="14"/>
    </row>
    <row r="47" spans="2:14" ht="10.5">
      <c r="B47" s="14"/>
      <c r="C47" s="14"/>
      <c r="D47" s="14"/>
      <c r="E47" s="14"/>
      <c r="F47" s="14"/>
      <c r="G47" s="14"/>
      <c r="H47" s="14"/>
      <c r="I47" s="14"/>
      <c r="J47" s="14"/>
      <c r="K47" s="14"/>
      <c r="L47" s="14"/>
      <c r="M47" s="14"/>
      <c r="N47" s="14"/>
    </row>
    <row r="51" spans="2:15" ht="12">
      <c r="B51" s="3" t="s">
        <v>53</v>
      </c>
      <c r="C51" s="5"/>
      <c r="D51" s="14" t="s">
        <v>0</v>
      </c>
      <c r="E51" s="5"/>
      <c r="G51" s="8"/>
      <c r="H51" s="7" t="s">
        <v>52</v>
      </c>
      <c r="M51"/>
      <c r="N51"/>
      <c r="O51"/>
    </row>
  </sheetData>
  <mergeCells count="1">
    <mergeCell ref="B1:G1"/>
  </mergeCells>
  <printOptions/>
  <pageMargins left="0" right="0" top="0" bottom="0" header="0" footer="0"/>
  <pageSetup orientation="landscape" paperSize="9"/>
  <drawing r:id="rId1"/>
</worksheet>
</file>

<file path=xl/worksheets/sheet2.xml><?xml version="1.0" encoding="utf-8"?>
<worksheet xmlns="http://schemas.openxmlformats.org/spreadsheetml/2006/main" xmlns:r="http://schemas.openxmlformats.org/officeDocument/2006/relationships">
  <dimension ref="A1:Y166"/>
  <sheetViews>
    <sheetView tabSelected="1" workbookViewId="0" topLeftCell="A1">
      <selection activeCell="J14" sqref="J14 J56"/>
    </sheetView>
  </sheetViews>
  <sheetFormatPr defaultColWidth="7.7109375" defaultRowHeight="12.75"/>
  <cols>
    <col min="1" max="1" width="2.421875" style="4" customWidth="1"/>
    <col min="2" max="2" width="7.421875" style="3" customWidth="1"/>
    <col min="3" max="3" width="7.421875" style="5" customWidth="1"/>
    <col min="4" max="4" width="7.421875" style="4" customWidth="1"/>
    <col min="5" max="6" width="7.421875" style="8" customWidth="1"/>
    <col min="7" max="7" width="7.421875" style="7" customWidth="1"/>
    <col min="8" max="8" width="7.421875" style="4" customWidth="1"/>
    <col min="9" max="11" width="7.421875" style="0" customWidth="1"/>
    <col min="12" max="16" width="7.421875" style="4" customWidth="1"/>
    <col min="17" max="16384" width="7.7109375" style="4" customWidth="1"/>
  </cols>
  <sheetData>
    <row r="1" ht="24" customHeight="1">
      <c r="B1" s="95" t="s">
        <v>55</v>
      </c>
    </row>
    <row r="2" ht="12" customHeight="1">
      <c r="B2" s="87"/>
    </row>
    <row r="4" spans="4:15" ht="10.5" customHeight="1">
      <c r="D4" s="79"/>
      <c r="E4" s="79"/>
      <c r="H4"/>
      <c r="L4"/>
      <c r="M4" s="37"/>
      <c r="N4" s="36"/>
      <c r="O4" s="35"/>
    </row>
    <row r="5" spans="4:16" ht="12">
      <c r="D5" s="80"/>
      <c r="E5" s="44"/>
      <c r="H5"/>
      <c r="L5"/>
      <c r="M5" s="37"/>
      <c r="N5" s="36"/>
      <c r="O5" s="35"/>
      <c r="P5" s="35"/>
    </row>
    <row r="6" spans="8:16" ht="12">
      <c r="H6"/>
      <c r="L6"/>
      <c r="M6" s="37"/>
      <c r="N6" s="36"/>
      <c r="O6" s="35"/>
      <c r="P6" s="35"/>
    </row>
    <row r="7" spans="8:16" ht="12">
      <c r="H7"/>
      <c r="L7"/>
      <c r="M7" s="36"/>
      <c r="N7" s="36"/>
      <c r="O7" s="35"/>
      <c r="P7" s="35"/>
    </row>
    <row r="8" spans="4:16" ht="12">
      <c r="D8" s="80"/>
      <c r="H8" s="22"/>
      <c r="L8"/>
      <c r="M8" s="36"/>
      <c r="N8" s="36"/>
      <c r="O8" s="35"/>
      <c r="P8" s="35"/>
    </row>
    <row r="9" spans="2:16" ht="10.5" customHeight="1">
      <c r="B9" s="93" t="s">
        <v>40</v>
      </c>
      <c r="C9" s="26"/>
      <c r="D9" s="26"/>
      <c r="H9" s="22"/>
      <c r="L9"/>
      <c r="M9" s="36"/>
      <c r="N9" s="36"/>
      <c r="O9" s="35"/>
      <c r="P9" s="35"/>
    </row>
    <row r="10" spans="2:16" ht="12.75" thickBot="1">
      <c r="B10" s="24"/>
      <c r="C10" s="31" t="s">
        <v>25</v>
      </c>
      <c r="D10" s="88"/>
      <c r="E10" s="32" t="s">
        <v>27</v>
      </c>
      <c r="F10" s="32" t="s">
        <v>28</v>
      </c>
      <c r="H10" s="22"/>
      <c r="L10"/>
      <c r="M10" s="36"/>
      <c r="N10" s="36"/>
      <c r="O10" s="35"/>
      <c r="P10" s="35"/>
    </row>
    <row r="11" spans="2:16" ht="12">
      <c r="B11" s="145" t="s">
        <v>43</v>
      </c>
      <c r="C11" s="154" t="s">
        <v>44</v>
      </c>
      <c r="D11" s="152" t="s">
        <v>45</v>
      </c>
      <c r="E11" s="121"/>
      <c r="F11" s="122" t="s">
        <v>46</v>
      </c>
      <c r="G11" s="123" t="s">
        <v>47</v>
      </c>
      <c r="H11" s="82" t="s">
        <v>74</v>
      </c>
      <c r="I11" s="25" t="s">
        <v>3</v>
      </c>
      <c r="J11" s="125">
        <v>400</v>
      </c>
      <c r="K11" s="86" t="s">
        <v>22</v>
      </c>
      <c r="L11"/>
      <c r="M11" s="81" t="s">
        <v>29</v>
      </c>
      <c r="N11" s="81"/>
      <c r="O11" s="35"/>
      <c r="P11" s="35"/>
    </row>
    <row r="12" spans="2:16" ht="12">
      <c r="B12" s="146"/>
      <c r="C12" s="153"/>
      <c r="D12" s="153"/>
      <c r="E12" s="124" t="s">
        <v>48</v>
      </c>
      <c r="F12" s="113" t="str">
        <f>J11&amp;"Hz"</f>
        <v>400Hz</v>
      </c>
      <c r="G12" s="114" t="str">
        <f>J11&amp;"Hz"</f>
        <v>400Hz</v>
      </c>
      <c r="H12" s="82" t="s">
        <v>74</v>
      </c>
      <c r="I12" s="27" t="s">
        <v>2</v>
      </c>
      <c r="J12" s="126">
        <v>4.7E-08</v>
      </c>
      <c r="K12" s="73" t="s">
        <v>23</v>
      </c>
      <c r="L12"/>
      <c r="M12" s="53" t="s">
        <v>78</v>
      </c>
      <c r="N12" s="33">
        <v>47</v>
      </c>
      <c r="O12" s="35"/>
      <c r="P12" s="35"/>
    </row>
    <row r="13" spans="2:16" ht="12.75" thickBot="1">
      <c r="B13" s="50">
        <v>10</v>
      </c>
      <c r="C13" s="90">
        <v>106.27450980392157</v>
      </c>
      <c r="D13" s="92">
        <v>40</v>
      </c>
      <c r="E13" s="58">
        <f>10^(-1*(C13-D13)/20)*1000</f>
        <v>0.4855953393399648</v>
      </c>
      <c r="F13" s="48">
        <f aca="true" t="shared" si="0" ref="F13:F44">1/SQRT(1+(2*PI()*$B13*J$12*J$13)^2)</f>
        <v>0.9996876464081226</v>
      </c>
      <c r="G13" s="28">
        <f aca="true" t="shared" si="1" ref="G13:G44">F13*$E13</f>
        <v>0.485443661891523</v>
      </c>
      <c r="H13" s="82" t="s">
        <v>74</v>
      </c>
      <c r="I13" s="54" t="s">
        <v>24</v>
      </c>
      <c r="J13" s="127">
        <f>1/(2*PI()*J12*J11)</f>
        <v>8465.688462334858</v>
      </c>
      <c r="K13" s="78" t="s">
        <v>33</v>
      </c>
      <c r="L13"/>
      <c r="M13" s="53" t="s">
        <v>1</v>
      </c>
      <c r="N13" s="34">
        <f>N12/1000000000</f>
        <v>4.7E-08</v>
      </c>
      <c r="O13" s="35"/>
      <c r="P13" s="35"/>
    </row>
    <row r="14" spans="2:16" ht="12">
      <c r="B14" s="50">
        <v>30</v>
      </c>
      <c r="C14" s="90">
        <v>106.27450980392157</v>
      </c>
      <c r="D14" s="29">
        <f aca="true" t="shared" si="2" ref="D14:D44">$D$13</f>
        <v>40</v>
      </c>
      <c r="E14" s="58">
        <f>10^(-1*(C14-D14)/20)*1000</f>
        <v>0.4855953393399648</v>
      </c>
      <c r="F14" s="48">
        <f t="shared" si="0"/>
        <v>0.9971993098884564</v>
      </c>
      <c r="G14" s="28">
        <f t="shared" si="1"/>
        <v>0.4842353372748637</v>
      </c>
      <c r="H14" s="22"/>
      <c r="J14" s="22" t="s">
        <v>32</v>
      </c>
      <c r="L14"/>
      <c r="M14" s="35"/>
      <c r="N14" s="35"/>
      <c r="O14" s="35"/>
      <c r="P14" s="35"/>
    </row>
    <row r="15" spans="2:12" ht="12">
      <c r="B15" s="50">
        <v>60</v>
      </c>
      <c r="C15" s="90">
        <v>106.27450980392157</v>
      </c>
      <c r="D15" s="29">
        <f t="shared" si="2"/>
        <v>40</v>
      </c>
      <c r="E15" s="58">
        <f aca="true" t="shared" si="3" ref="E15:E44">10^(-1*(C15-D15)/20)*1000</f>
        <v>0.4855953393399648</v>
      </c>
      <c r="F15" s="48">
        <f t="shared" si="0"/>
        <v>0.9889363528682975</v>
      </c>
      <c r="G15" s="28">
        <f t="shared" si="1"/>
        <v>0.4802228838567081</v>
      </c>
      <c r="H15" s="22"/>
      <c r="L15"/>
    </row>
    <row r="16" spans="2:12" ht="12">
      <c r="B16" s="50">
        <v>100</v>
      </c>
      <c r="C16" s="90">
        <v>106.27450980392157</v>
      </c>
      <c r="D16" s="29">
        <f t="shared" si="2"/>
        <v>40</v>
      </c>
      <c r="E16" s="58">
        <f t="shared" si="3"/>
        <v>0.4855953393399648</v>
      </c>
      <c r="F16" s="48">
        <f t="shared" si="0"/>
        <v>0.9701425001453319</v>
      </c>
      <c r="G16" s="28">
        <f t="shared" si="1"/>
        <v>0.47109667656619425</v>
      </c>
      <c r="H16" s="22"/>
      <c r="L16"/>
    </row>
    <row r="17" spans="2:12" ht="12">
      <c r="B17" s="50">
        <v>200</v>
      </c>
      <c r="C17" s="90">
        <v>106.27450980392157</v>
      </c>
      <c r="D17" s="29">
        <f t="shared" si="2"/>
        <v>40</v>
      </c>
      <c r="E17" s="58">
        <f t="shared" si="3"/>
        <v>0.4855953393399648</v>
      </c>
      <c r="F17" s="48">
        <f t="shared" si="0"/>
        <v>0.8944271909999159</v>
      </c>
      <c r="G17" s="28">
        <f t="shared" si="1"/>
        <v>0.43432967532849565</v>
      </c>
      <c r="H17" s="22"/>
      <c r="L17"/>
    </row>
    <row r="18" spans="2:12" ht="12">
      <c r="B18" s="50">
        <v>300</v>
      </c>
      <c r="C18" s="90">
        <v>106.19607843137256</v>
      </c>
      <c r="D18" s="29">
        <f t="shared" si="2"/>
        <v>40</v>
      </c>
      <c r="E18" s="58">
        <f t="shared" si="3"/>
        <v>0.4899999981979984</v>
      </c>
      <c r="F18" s="48">
        <f t="shared" si="0"/>
        <v>0.8</v>
      </c>
      <c r="G18" s="28">
        <f t="shared" si="1"/>
        <v>0.39199999855839873</v>
      </c>
      <c r="H18" s="22"/>
      <c r="L18"/>
    </row>
    <row r="19" spans="2:12" ht="12">
      <c r="B19" s="50">
        <v>400</v>
      </c>
      <c r="C19" s="90">
        <v>105.49019607843137</v>
      </c>
      <c r="D19" s="29">
        <f t="shared" si="2"/>
        <v>40</v>
      </c>
      <c r="E19" s="58">
        <f t="shared" si="3"/>
        <v>0.5314840014580976</v>
      </c>
      <c r="F19" s="48">
        <f t="shared" si="0"/>
        <v>0.7071067811865476</v>
      </c>
      <c r="G19" s="28">
        <f t="shared" si="1"/>
        <v>0.37581594152318176</v>
      </c>
      <c r="H19" s="22"/>
      <c r="L19"/>
    </row>
    <row r="20" spans="2:12" ht="12">
      <c r="B20" s="50">
        <v>500</v>
      </c>
      <c r="C20" s="90">
        <v>103.92156862745098</v>
      </c>
      <c r="D20" s="29">
        <f t="shared" si="2"/>
        <v>40</v>
      </c>
      <c r="E20" s="58">
        <f t="shared" si="3"/>
        <v>0.6366805292623683</v>
      </c>
      <c r="F20" s="48">
        <f t="shared" si="0"/>
        <v>0.6246950475544243</v>
      </c>
      <c r="G20" s="28">
        <f t="shared" si="1"/>
        <v>0.3977311735045312</v>
      </c>
      <c r="H20" s="22"/>
      <c r="L20"/>
    </row>
    <row r="21" spans="2:12" ht="12">
      <c r="B21" s="50">
        <v>600</v>
      </c>
      <c r="C21" s="90">
        <v>102.3529411764706</v>
      </c>
      <c r="D21" s="29">
        <f t="shared" si="2"/>
        <v>40</v>
      </c>
      <c r="E21" s="58">
        <f t="shared" si="3"/>
        <v>0.762698585902343</v>
      </c>
      <c r="F21" s="48">
        <f t="shared" si="0"/>
        <v>0.5547001962252291</v>
      </c>
      <c r="G21" s="28">
        <f t="shared" si="1"/>
        <v>0.4230690552607344</v>
      </c>
      <c r="H21" s="22"/>
      <c r="L21"/>
    </row>
    <row r="22" spans="2:12" ht="12">
      <c r="B22" s="50">
        <v>700</v>
      </c>
      <c r="C22" s="90">
        <v>101.17647058823529</v>
      </c>
      <c r="D22" s="29">
        <f t="shared" si="2"/>
        <v>40</v>
      </c>
      <c r="E22" s="58">
        <f t="shared" si="3"/>
        <v>0.8733261623828431</v>
      </c>
      <c r="F22" s="48">
        <f t="shared" si="0"/>
        <v>0.49613893835683387</v>
      </c>
      <c r="G22" s="28">
        <f t="shared" si="1"/>
        <v>0.4332911150438717</v>
      </c>
      <c r="H22" s="22"/>
      <c r="L22"/>
    </row>
    <row r="23" spans="2:12" ht="12">
      <c r="B23" s="50">
        <v>800</v>
      </c>
      <c r="C23" s="90">
        <v>100</v>
      </c>
      <c r="D23" s="29">
        <f t="shared" si="2"/>
        <v>40</v>
      </c>
      <c r="E23" s="58">
        <f t="shared" si="3"/>
        <v>1</v>
      </c>
      <c r="F23" s="48">
        <f t="shared" si="0"/>
        <v>0.447213595499958</v>
      </c>
      <c r="G23" s="28">
        <f t="shared" si="1"/>
        <v>0.447213595499958</v>
      </c>
      <c r="H23" s="22"/>
      <c r="L23"/>
    </row>
    <row r="24" spans="2:12" ht="12">
      <c r="B24" s="50">
        <v>900</v>
      </c>
      <c r="C24" s="90">
        <v>98.98039215686275</v>
      </c>
      <c r="D24" s="29">
        <f t="shared" si="2"/>
        <v>40</v>
      </c>
      <c r="E24" s="58">
        <f t="shared" si="3"/>
        <v>1.1245542006298046</v>
      </c>
      <c r="F24" s="48">
        <f t="shared" si="0"/>
        <v>0.40613846605344767</v>
      </c>
      <c r="G24" s="28">
        <f t="shared" si="1"/>
        <v>0.4567247180377499</v>
      </c>
      <c r="H24" s="22"/>
      <c r="L24"/>
    </row>
    <row r="25" spans="2:12" ht="12">
      <c r="B25" s="50">
        <v>1000</v>
      </c>
      <c r="C25" s="90">
        <v>98.0392156862745</v>
      </c>
      <c r="D25" s="29">
        <f t="shared" si="2"/>
        <v>40</v>
      </c>
      <c r="E25" s="58">
        <f t="shared" si="3"/>
        <v>1.2532543355087813</v>
      </c>
      <c r="F25" s="48">
        <f t="shared" si="0"/>
        <v>0.3713906763541037</v>
      </c>
      <c r="G25" s="28">
        <f t="shared" si="1"/>
        <v>0.46544697530831913</v>
      </c>
      <c r="H25" s="22"/>
      <c r="L25"/>
    </row>
    <row r="26" spans="2:12" ht="12">
      <c r="B26" s="50">
        <v>2000</v>
      </c>
      <c r="C26" s="90">
        <v>92.15686274509804</v>
      </c>
      <c r="D26" s="29">
        <f t="shared" si="2"/>
        <v>40</v>
      </c>
      <c r="E26" s="58">
        <f t="shared" si="3"/>
        <v>2.4669302064117415</v>
      </c>
      <c r="F26" s="48">
        <f t="shared" si="0"/>
        <v>0.19611613513818404</v>
      </c>
      <c r="G26" s="28">
        <f t="shared" si="1"/>
        <v>0.48380481773711337</v>
      </c>
      <c r="H26" s="22"/>
      <c r="L26"/>
    </row>
    <row r="27" spans="2:12" ht="12">
      <c r="B27" s="50">
        <v>3000</v>
      </c>
      <c r="C27" s="90">
        <v>88.62745098039215</v>
      </c>
      <c r="D27" s="29">
        <f t="shared" si="2"/>
        <v>40</v>
      </c>
      <c r="E27" s="58">
        <f t="shared" si="3"/>
        <v>3.7036287863536055</v>
      </c>
      <c r="F27" s="48">
        <f t="shared" si="0"/>
        <v>0.13216372009101796</v>
      </c>
      <c r="G27" s="28">
        <f t="shared" si="1"/>
        <v>0.48948535824067446</v>
      </c>
      <c r="H27" s="22"/>
      <c r="L27"/>
    </row>
    <row r="28" spans="2:12" ht="12">
      <c r="B28" s="50">
        <v>4000</v>
      </c>
      <c r="C28" s="90">
        <v>86.11764705882354</v>
      </c>
      <c r="D28" s="29">
        <f t="shared" si="2"/>
        <v>40</v>
      </c>
      <c r="E28" s="58">
        <f t="shared" si="3"/>
        <v>4.9444461011588245</v>
      </c>
      <c r="F28" s="48">
        <f t="shared" si="0"/>
        <v>0.09950371902099893</v>
      </c>
      <c r="G28" s="28">
        <f t="shared" si="1"/>
        <v>0.4919907755641813</v>
      </c>
      <c r="H28" s="22"/>
      <c r="L28"/>
    </row>
    <row r="29" spans="2:12" ht="12">
      <c r="B29" s="50">
        <v>5000</v>
      </c>
      <c r="C29" s="90">
        <v>84.15686274509804</v>
      </c>
      <c r="D29" s="29">
        <f t="shared" si="2"/>
        <v>40</v>
      </c>
      <c r="E29" s="58">
        <f t="shared" si="3"/>
        <v>6.19664851296678</v>
      </c>
      <c r="F29" s="48">
        <f t="shared" si="0"/>
        <v>0.07974522228289002</v>
      </c>
      <c r="G29" s="28">
        <f t="shared" si="1"/>
        <v>0.49415311307547577</v>
      </c>
      <c r="H29" s="22"/>
      <c r="L29"/>
    </row>
    <row r="30" spans="2:12" ht="12">
      <c r="B30" s="50">
        <v>6000</v>
      </c>
      <c r="C30" s="90">
        <v>82.52549019607844</v>
      </c>
      <c r="D30" s="29">
        <f t="shared" si="2"/>
        <v>40</v>
      </c>
      <c r="E30" s="58">
        <f t="shared" si="3"/>
        <v>7.476967453262772</v>
      </c>
      <c r="F30" s="48">
        <f t="shared" si="0"/>
        <v>0.06651901052377394</v>
      </c>
      <c r="G30" s="28">
        <f t="shared" si="1"/>
        <v>0.4973604767095016</v>
      </c>
      <c r="H30" s="22"/>
      <c r="L30"/>
    </row>
    <row r="31" spans="2:12" ht="12">
      <c r="B31" s="50">
        <v>7000</v>
      </c>
      <c r="C31" s="90">
        <v>81.17647058823529</v>
      </c>
      <c r="D31" s="29">
        <f t="shared" si="2"/>
        <v>40</v>
      </c>
      <c r="E31" s="58">
        <f t="shared" si="3"/>
        <v>8.733261623828433</v>
      </c>
      <c r="F31" s="48">
        <f t="shared" si="0"/>
        <v>0.05704979053851296</v>
      </c>
      <c r="G31" s="28">
        <f t="shared" si="1"/>
        <v>0.4982307463574457</v>
      </c>
      <c r="H31" s="22"/>
      <c r="L31"/>
    </row>
    <row r="32" spans="2:12" ht="12">
      <c r="B32" s="50">
        <v>8000</v>
      </c>
      <c r="C32" s="90">
        <v>80</v>
      </c>
      <c r="D32" s="29">
        <f t="shared" si="2"/>
        <v>40</v>
      </c>
      <c r="E32" s="58">
        <f t="shared" si="3"/>
        <v>10</v>
      </c>
      <c r="F32" s="48">
        <f t="shared" si="0"/>
        <v>0.04993761694389224</v>
      </c>
      <c r="G32" s="28">
        <f t="shared" si="1"/>
        <v>0.4993761694389224</v>
      </c>
      <c r="H32" s="22"/>
      <c r="L32"/>
    </row>
    <row r="33" spans="2:12" ht="12">
      <c r="B33" s="50">
        <v>9000</v>
      </c>
      <c r="C33" s="90">
        <v>78.98039215686275</v>
      </c>
      <c r="D33" s="29">
        <f t="shared" si="2"/>
        <v>40</v>
      </c>
      <c r="E33" s="58">
        <f t="shared" si="3"/>
        <v>11.24554200629805</v>
      </c>
      <c r="F33" s="48">
        <f t="shared" si="0"/>
        <v>0.04440061362072038</v>
      </c>
      <c r="G33" s="28">
        <f t="shared" si="1"/>
        <v>0.49930896557722043</v>
      </c>
      <c r="H33" s="22"/>
      <c r="L33"/>
    </row>
    <row r="34" spans="2:12" ht="12">
      <c r="B34" s="50">
        <v>10000</v>
      </c>
      <c r="C34" s="90">
        <v>78.0392156862745</v>
      </c>
      <c r="D34" s="29">
        <f t="shared" si="2"/>
        <v>40</v>
      </c>
      <c r="E34" s="58">
        <f t="shared" si="3"/>
        <v>12.532543355087805</v>
      </c>
      <c r="F34" s="48">
        <f t="shared" si="0"/>
        <v>0.03996803834887158</v>
      </c>
      <c r="G34" s="28">
        <f t="shared" si="1"/>
        <v>0.5009011734250451</v>
      </c>
      <c r="H34" s="22"/>
      <c r="L34"/>
    </row>
    <row r="35" spans="2:12" ht="12">
      <c r="B35" s="50">
        <v>20000</v>
      </c>
      <c r="C35" s="90">
        <v>71.76470588235294</v>
      </c>
      <c r="D35" s="29">
        <f t="shared" si="2"/>
        <v>40</v>
      </c>
      <c r="E35" s="58">
        <f t="shared" si="3"/>
        <v>25.808615404180728</v>
      </c>
      <c r="F35" s="48">
        <f t="shared" si="0"/>
        <v>0.019996001199600145</v>
      </c>
      <c r="G35" s="28">
        <f t="shared" si="1"/>
        <v>0.5160691045820166</v>
      </c>
      <c r="H35" s="22"/>
      <c r="L35"/>
    </row>
    <row r="36" spans="2:12" s="6" customFormat="1" ht="12">
      <c r="B36" s="50">
        <v>30000</v>
      </c>
      <c r="C36" s="90">
        <v>68.62745098039215</v>
      </c>
      <c r="D36" s="29">
        <f t="shared" si="2"/>
        <v>40</v>
      </c>
      <c r="E36" s="58">
        <f t="shared" si="3"/>
        <v>37.03628786353606</v>
      </c>
      <c r="F36" s="48">
        <f t="shared" si="0"/>
        <v>0.013332148306149436</v>
      </c>
      <c r="G36" s="28">
        <f t="shared" si="1"/>
        <v>0.4937732825059052</v>
      </c>
      <c r="H36" s="22"/>
      <c r="I36"/>
      <c r="J36"/>
      <c r="K36"/>
      <c r="L36"/>
    </row>
    <row r="37" spans="2:12" ht="12">
      <c r="B37" s="50">
        <v>40000</v>
      </c>
      <c r="C37" s="90">
        <v>67.05882352941177</v>
      </c>
      <c r="D37" s="29">
        <f t="shared" si="2"/>
        <v>40</v>
      </c>
      <c r="E37" s="58">
        <f t="shared" si="3"/>
        <v>44.36687330978609</v>
      </c>
      <c r="F37" s="48">
        <f t="shared" si="0"/>
        <v>0.009999500037496877</v>
      </c>
      <c r="G37" s="28">
        <f t="shared" si="1"/>
        <v>0.44364655132482517</v>
      </c>
      <c r="H37" s="22"/>
      <c r="L37"/>
    </row>
    <row r="38" spans="2:12" ht="12">
      <c r="B38" s="50">
        <v>50000</v>
      </c>
      <c r="C38" s="90">
        <v>66.27450980392157</v>
      </c>
      <c r="D38" s="29">
        <f t="shared" si="2"/>
        <v>40</v>
      </c>
      <c r="E38" s="58">
        <f t="shared" si="3"/>
        <v>48.55953393399648</v>
      </c>
      <c r="F38" s="48">
        <f t="shared" si="0"/>
        <v>0.007999744012287346</v>
      </c>
      <c r="G38" s="28">
        <f t="shared" si="1"/>
        <v>0.3884638408279525</v>
      </c>
      <c r="H38" s="22"/>
      <c r="L38"/>
    </row>
    <row r="39" spans="2:12" ht="12">
      <c r="B39" s="50">
        <v>60000</v>
      </c>
      <c r="C39" s="90">
        <v>65.49019607843137</v>
      </c>
      <c r="D39" s="29">
        <f t="shared" si="2"/>
        <v>40</v>
      </c>
      <c r="E39" s="58">
        <f t="shared" si="3"/>
        <v>53.14840014580978</v>
      </c>
      <c r="F39" s="48">
        <f t="shared" si="0"/>
        <v>0.0066665185234566085</v>
      </c>
      <c r="G39" s="28">
        <f t="shared" si="1"/>
        <v>0.3543147940641248</v>
      </c>
      <c r="H39" s="22"/>
      <c r="L39"/>
    </row>
    <row r="40" spans="2:12" ht="12">
      <c r="B40" s="50">
        <v>70000</v>
      </c>
      <c r="C40" s="90">
        <v>65.09803921568627</v>
      </c>
      <c r="D40" s="29">
        <f t="shared" si="2"/>
        <v>40</v>
      </c>
      <c r="E40" s="58">
        <f t="shared" si="3"/>
        <v>55.60297632845827</v>
      </c>
      <c r="F40" s="48">
        <f t="shared" si="0"/>
        <v>0.005714192422109774</v>
      </c>
      <c r="G40" s="28">
        <f t="shared" si="1"/>
        <v>0.3177261059828254</v>
      </c>
      <c r="H40" s="22"/>
      <c r="L40"/>
    </row>
    <row r="41" spans="2:12" ht="12">
      <c r="B41" s="50">
        <v>80000</v>
      </c>
      <c r="C41" s="90">
        <v>64.70588235294117</v>
      </c>
      <c r="D41" s="29">
        <f t="shared" si="2"/>
        <v>40</v>
      </c>
      <c r="E41" s="58">
        <f t="shared" si="3"/>
        <v>58.17091329374359</v>
      </c>
      <c r="F41" s="48">
        <f t="shared" si="0"/>
        <v>0.004999937501171852</v>
      </c>
      <c r="G41" s="28">
        <f t="shared" si="1"/>
        <v>0.2908509308548048</v>
      </c>
      <c r="H41" s="22"/>
      <c r="L41"/>
    </row>
    <row r="42" spans="2:12" ht="12">
      <c r="B42" s="50">
        <v>90000</v>
      </c>
      <c r="C42" s="90">
        <v>64.31372549019608</v>
      </c>
      <c r="D42" s="29">
        <f t="shared" si="2"/>
        <v>40</v>
      </c>
      <c r="E42" s="58">
        <f t="shared" si="3"/>
        <v>60.85744643306688</v>
      </c>
      <c r="F42" s="48">
        <f t="shared" si="0"/>
        <v>0.004444400549347143</v>
      </c>
      <c r="G42" s="28">
        <f t="shared" si="1"/>
        <v>0.27047486835898676</v>
      </c>
      <c r="H42" s="22"/>
      <c r="L42"/>
    </row>
    <row r="43" spans="2:12" ht="12">
      <c r="B43" s="50">
        <v>100000</v>
      </c>
      <c r="C43" s="90">
        <v>63.92156862745098</v>
      </c>
      <c r="D43" s="29">
        <f t="shared" si="2"/>
        <v>40</v>
      </c>
      <c r="E43" s="58">
        <f t="shared" si="3"/>
        <v>63.66805292623691</v>
      </c>
      <c r="F43" s="48">
        <f t="shared" si="0"/>
        <v>0.003999968000383995</v>
      </c>
      <c r="G43" s="28">
        <f t="shared" si="1"/>
        <v>0.25467017435170225</v>
      </c>
      <c r="H43"/>
      <c r="L43"/>
    </row>
    <row r="44" spans="2:12" ht="12.75" thickBot="1">
      <c r="B44" s="51">
        <v>1000000</v>
      </c>
      <c r="C44" s="91">
        <v>60</v>
      </c>
      <c r="D44" s="52">
        <f t="shared" si="2"/>
        <v>40</v>
      </c>
      <c r="E44" s="38">
        <f t="shared" si="3"/>
        <v>100</v>
      </c>
      <c r="F44" s="49">
        <f t="shared" si="0"/>
        <v>0.0003999999680000039</v>
      </c>
      <c r="G44" s="30">
        <f t="shared" si="1"/>
        <v>0.03999999680000039</v>
      </c>
      <c r="H44"/>
      <c r="L44"/>
    </row>
    <row r="45" spans="3:12" ht="12">
      <c r="C45" s="31" t="s">
        <v>77</v>
      </c>
      <c r="D45" s="22"/>
      <c r="E45" s="32" t="s">
        <v>75</v>
      </c>
      <c r="F45" s="40" t="s">
        <v>76</v>
      </c>
      <c r="H45"/>
      <c r="L45"/>
    </row>
    <row r="46" spans="2:15" ht="12">
      <c r="B46" s="3" t="s">
        <v>53</v>
      </c>
      <c r="D46" s="14" t="s">
        <v>56</v>
      </c>
      <c r="E46" s="5"/>
      <c r="F46" s="4"/>
      <c r="G46" s="8"/>
      <c r="H46" s="7"/>
      <c r="I46" s="4"/>
      <c r="J46" s="4"/>
      <c r="K46" s="4"/>
      <c r="M46"/>
      <c r="N46"/>
      <c r="O46"/>
    </row>
    <row r="47" spans="2:15" ht="22.5" customHeight="1">
      <c r="B47" s="95" t="s">
        <v>55</v>
      </c>
      <c r="D47" s="14"/>
      <c r="E47" s="5"/>
      <c r="F47" s="4"/>
      <c r="G47" s="8"/>
      <c r="H47" s="7"/>
      <c r="I47" s="4"/>
      <c r="J47" s="4"/>
      <c r="K47" s="4"/>
      <c r="M47"/>
      <c r="N47"/>
      <c r="O47"/>
    </row>
    <row r="48" spans="2:15" ht="12">
      <c r="B48" s="142" t="s">
        <v>26</v>
      </c>
      <c r="D48" s="14"/>
      <c r="E48" s="5"/>
      <c r="F48" s="4"/>
      <c r="G48" s="8"/>
      <c r="H48" s="7"/>
      <c r="I48" s="4"/>
      <c r="J48" s="4"/>
      <c r="K48" s="4"/>
      <c r="M48"/>
      <c r="N48"/>
      <c r="O48"/>
    </row>
    <row r="49" spans="4:15" ht="12">
      <c r="D49" s="14"/>
      <c r="E49" s="5"/>
      <c r="F49" s="4"/>
      <c r="G49" s="8"/>
      <c r="H49" s="7"/>
      <c r="I49" s="4"/>
      <c r="J49" s="4"/>
      <c r="K49" s="4"/>
      <c r="M49"/>
      <c r="N49"/>
      <c r="O49"/>
    </row>
    <row r="50" spans="4:15" ht="12">
      <c r="D50" s="14"/>
      <c r="E50" s="5"/>
      <c r="F50" s="4"/>
      <c r="G50" s="8"/>
      <c r="H50" s="7"/>
      <c r="I50" s="4"/>
      <c r="J50" s="4"/>
      <c r="K50" s="4"/>
      <c r="M50"/>
      <c r="N50"/>
      <c r="O50"/>
    </row>
    <row r="51" spans="2:4" ht="12">
      <c r="B51" s="93" t="s">
        <v>41</v>
      </c>
      <c r="C51" s="26"/>
      <c r="D51" s="26"/>
    </row>
    <row r="52" spans="2:6" ht="12.75" thickBot="1">
      <c r="B52" s="24"/>
      <c r="C52" s="31" t="s">
        <v>25</v>
      </c>
      <c r="D52" s="88"/>
      <c r="E52" s="32" t="s">
        <v>27</v>
      </c>
      <c r="F52" s="32" t="s">
        <v>28</v>
      </c>
    </row>
    <row r="53" spans="2:14" ht="12" customHeight="1">
      <c r="B53" s="147" t="s">
        <v>43</v>
      </c>
      <c r="C53" s="149" t="s">
        <v>44</v>
      </c>
      <c r="D53" s="151" t="s">
        <v>49</v>
      </c>
      <c r="E53" s="121"/>
      <c r="F53" s="122" t="s">
        <v>50</v>
      </c>
      <c r="G53" s="123" t="s">
        <v>51</v>
      </c>
      <c r="H53" s="82" t="s">
        <v>74</v>
      </c>
      <c r="I53" s="25" t="s">
        <v>3</v>
      </c>
      <c r="J53" s="125">
        <v>1000</v>
      </c>
      <c r="K53" s="86" t="s">
        <v>22</v>
      </c>
      <c r="L53"/>
      <c r="M53" s="81" t="s">
        <v>29</v>
      </c>
      <c r="N53" s="81"/>
    </row>
    <row r="54" spans="2:25" ht="12">
      <c r="B54" s="148"/>
      <c r="C54" s="150"/>
      <c r="D54" s="150"/>
      <c r="E54" s="124" t="s">
        <v>31</v>
      </c>
      <c r="F54" s="128" t="str">
        <f>J53&amp;"Hz"</f>
        <v>1000Hz</v>
      </c>
      <c r="G54" s="129" t="str">
        <f>J53&amp;"Hz"</f>
        <v>1000Hz</v>
      </c>
      <c r="H54" s="82" t="s">
        <v>74</v>
      </c>
      <c r="I54" s="27" t="s">
        <v>2</v>
      </c>
      <c r="J54" s="126">
        <v>2.2E-08</v>
      </c>
      <c r="K54" s="73" t="s">
        <v>23</v>
      </c>
      <c r="L54"/>
      <c r="M54" s="53" t="s">
        <v>78</v>
      </c>
      <c r="N54" s="33">
        <v>22</v>
      </c>
      <c r="V54"/>
      <c r="W54"/>
      <c r="X54"/>
      <c r="Y54"/>
    </row>
    <row r="55" spans="2:25" ht="12.75" thickBot="1">
      <c r="B55" s="50">
        <v>10</v>
      </c>
      <c r="C55" s="94">
        <f aca="true" t="shared" si="4" ref="C55:D86">C13</f>
        <v>106.27450980392157</v>
      </c>
      <c r="D55" s="29">
        <f t="shared" si="4"/>
        <v>40</v>
      </c>
      <c r="E55" s="58">
        <f>10^(-1*(C55-D55)/20)*1000</f>
        <v>0.4855953393399648</v>
      </c>
      <c r="F55" s="48">
        <f aca="true" t="shared" si="5" ref="F55:F86">1/SQRT(1+(2*PI()*$B55*J$54*J$55)^2)</f>
        <v>0.9999500037496877</v>
      </c>
      <c r="G55" s="28">
        <f>F55*$E55</f>
        <v>0.48557106139382866</v>
      </c>
      <c r="H55" s="82" t="s">
        <v>74</v>
      </c>
      <c r="I55" s="54" t="s">
        <v>17</v>
      </c>
      <c r="J55" s="127">
        <f>1/(2*PI()*J54*J53)</f>
        <v>7234.315595086152</v>
      </c>
      <c r="K55" s="78" t="s">
        <v>33</v>
      </c>
      <c r="L55"/>
      <c r="M55" s="53" t="s">
        <v>1</v>
      </c>
      <c r="N55" s="34">
        <f>N54/1000000000</f>
        <v>2.2E-08</v>
      </c>
      <c r="V55"/>
      <c r="W55"/>
      <c r="X55"/>
      <c r="Y55"/>
    </row>
    <row r="56" spans="2:25" ht="12">
      <c r="B56" s="50">
        <v>30</v>
      </c>
      <c r="C56" s="94">
        <f t="shared" si="4"/>
        <v>106.27450980392157</v>
      </c>
      <c r="D56" s="29">
        <f t="shared" si="4"/>
        <v>40</v>
      </c>
      <c r="E56" s="58">
        <f aca="true" t="shared" si="6" ref="E56:E86">10^(-1*(C56-D56)/20)*1000</f>
        <v>0.4855953393399648</v>
      </c>
      <c r="F56" s="48">
        <f t="shared" si="5"/>
        <v>0.9995503035223668</v>
      </c>
      <c r="G56" s="28">
        <f aca="true" t="shared" si="7" ref="G56:G86">F56*$E56</f>
        <v>0.48537696882630854</v>
      </c>
      <c r="J56" s="22" t="s">
        <v>32</v>
      </c>
      <c r="V56"/>
      <c r="W56"/>
      <c r="X56"/>
      <c r="Y56"/>
    </row>
    <row r="57" spans="2:25" ht="12">
      <c r="B57" s="50">
        <v>60</v>
      </c>
      <c r="C57" s="94">
        <f t="shared" si="4"/>
        <v>106.27450980392157</v>
      </c>
      <c r="D57" s="29">
        <f t="shared" si="4"/>
        <v>40</v>
      </c>
      <c r="E57" s="58">
        <f t="shared" si="6"/>
        <v>0.4855953393399648</v>
      </c>
      <c r="F57" s="48">
        <f t="shared" si="5"/>
        <v>0.9982048454657787</v>
      </c>
      <c r="G57" s="28">
        <f t="shared" si="7"/>
        <v>0.48472362066475194</v>
      </c>
      <c r="V57"/>
      <c r="W57"/>
      <c r="X57"/>
      <c r="Y57"/>
    </row>
    <row r="58" spans="2:7" ht="12">
      <c r="B58" s="50">
        <v>100</v>
      </c>
      <c r="C58" s="94">
        <f t="shared" si="4"/>
        <v>106.27450980392157</v>
      </c>
      <c r="D58" s="29">
        <f t="shared" si="4"/>
        <v>40</v>
      </c>
      <c r="E58" s="58">
        <f t="shared" si="6"/>
        <v>0.4855953393399648</v>
      </c>
      <c r="F58" s="48">
        <f t="shared" si="5"/>
        <v>0.9950371902099893</v>
      </c>
      <c r="G58" s="28">
        <f t="shared" si="7"/>
        <v>0.4831854220359048</v>
      </c>
    </row>
    <row r="59" spans="2:7" ht="12">
      <c r="B59" s="50">
        <v>200</v>
      </c>
      <c r="C59" s="94">
        <f t="shared" si="4"/>
        <v>106.27450980392157</v>
      </c>
      <c r="D59" s="29">
        <f t="shared" si="4"/>
        <v>40</v>
      </c>
      <c r="E59" s="58">
        <f t="shared" si="6"/>
        <v>0.4855953393399648</v>
      </c>
      <c r="F59" s="48">
        <f t="shared" si="5"/>
        <v>0.9805806756909201</v>
      </c>
      <c r="G59" s="28">
        <f t="shared" si="7"/>
        <v>0.4761654059623443</v>
      </c>
    </row>
    <row r="60" spans="2:7" ht="12">
      <c r="B60" s="50">
        <v>300</v>
      </c>
      <c r="C60" s="94">
        <f t="shared" si="4"/>
        <v>106.19607843137256</v>
      </c>
      <c r="D60" s="29">
        <f t="shared" si="4"/>
        <v>40</v>
      </c>
      <c r="E60" s="58">
        <f t="shared" si="6"/>
        <v>0.4899999981979984</v>
      </c>
      <c r="F60" s="48">
        <f t="shared" si="5"/>
        <v>0.9578262852211513</v>
      </c>
      <c r="G60" s="28">
        <f t="shared" si="7"/>
        <v>0.4693348780323596</v>
      </c>
    </row>
    <row r="61" spans="2:7" ht="12">
      <c r="B61" s="50">
        <v>400</v>
      </c>
      <c r="C61" s="94">
        <f t="shared" si="4"/>
        <v>105.49019607843137</v>
      </c>
      <c r="D61" s="29">
        <f t="shared" si="4"/>
        <v>40</v>
      </c>
      <c r="E61" s="58">
        <f t="shared" si="6"/>
        <v>0.5314840014580976</v>
      </c>
      <c r="F61" s="48">
        <f t="shared" si="5"/>
        <v>0.9284766908852592</v>
      </c>
      <c r="G61" s="28">
        <f t="shared" si="7"/>
        <v>0.49347050693227074</v>
      </c>
    </row>
    <row r="62" spans="2:7" ht="12">
      <c r="B62" s="50">
        <v>500</v>
      </c>
      <c r="C62" s="94">
        <f t="shared" si="4"/>
        <v>103.92156862745098</v>
      </c>
      <c r="D62" s="29">
        <f t="shared" si="4"/>
        <v>40</v>
      </c>
      <c r="E62" s="58">
        <f t="shared" si="6"/>
        <v>0.6366805292623683</v>
      </c>
      <c r="F62" s="48">
        <f t="shared" si="5"/>
        <v>0.8944271909999159</v>
      </c>
      <c r="G62" s="28">
        <f t="shared" si="7"/>
        <v>0.5694643773524798</v>
      </c>
    </row>
    <row r="63" spans="2:7" ht="12">
      <c r="B63" s="50">
        <v>600</v>
      </c>
      <c r="C63" s="94">
        <f t="shared" si="4"/>
        <v>102.3529411764706</v>
      </c>
      <c r="D63" s="29">
        <f t="shared" si="4"/>
        <v>40</v>
      </c>
      <c r="E63" s="58">
        <f t="shared" si="6"/>
        <v>0.762698585902343</v>
      </c>
      <c r="F63" s="48">
        <f t="shared" si="5"/>
        <v>0.8574929257125443</v>
      </c>
      <c r="G63" s="28">
        <f t="shared" si="7"/>
        <v>0.6540086418622204</v>
      </c>
    </row>
    <row r="64" spans="2:7" ht="12">
      <c r="B64" s="50">
        <v>700</v>
      </c>
      <c r="C64" s="94">
        <f t="shared" si="4"/>
        <v>101.17647058823529</v>
      </c>
      <c r="D64" s="29">
        <f t="shared" si="4"/>
        <v>40</v>
      </c>
      <c r="E64" s="58">
        <f t="shared" si="6"/>
        <v>0.8733261623828431</v>
      </c>
      <c r="F64" s="48">
        <f t="shared" si="5"/>
        <v>0.8192319205190405</v>
      </c>
      <c r="G64" s="28">
        <f t="shared" si="7"/>
        <v>0.71545666924842</v>
      </c>
    </row>
    <row r="65" spans="2:7" ht="12">
      <c r="B65" s="50">
        <v>800</v>
      </c>
      <c r="C65" s="94">
        <f t="shared" si="4"/>
        <v>100</v>
      </c>
      <c r="D65" s="29">
        <f t="shared" si="4"/>
        <v>40</v>
      </c>
      <c r="E65" s="58">
        <f t="shared" si="6"/>
        <v>1</v>
      </c>
      <c r="F65" s="48">
        <f t="shared" si="5"/>
        <v>0.7808688094430303</v>
      </c>
      <c r="G65" s="28">
        <f t="shared" si="7"/>
        <v>0.7808688094430303</v>
      </c>
    </row>
    <row r="66" spans="2:7" ht="12">
      <c r="B66" s="50">
        <v>900</v>
      </c>
      <c r="C66" s="94">
        <f t="shared" si="4"/>
        <v>98.98039215686275</v>
      </c>
      <c r="D66" s="29">
        <f t="shared" si="4"/>
        <v>40</v>
      </c>
      <c r="E66" s="58">
        <f t="shared" si="6"/>
        <v>1.1245542006298046</v>
      </c>
      <c r="F66" s="48">
        <f t="shared" si="5"/>
        <v>0.7432941462471664</v>
      </c>
      <c r="G66" s="28">
        <f t="shared" si="7"/>
        <v>0.8358745544657953</v>
      </c>
    </row>
    <row r="67" spans="2:7" ht="12">
      <c r="B67" s="50">
        <v>1000</v>
      </c>
      <c r="C67" s="94">
        <f t="shared" si="4"/>
        <v>98.0392156862745</v>
      </c>
      <c r="D67" s="29">
        <f t="shared" si="4"/>
        <v>40</v>
      </c>
      <c r="E67" s="58">
        <f t="shared" si="6"/>
        <v>1.2532543355087813</v>
      </c>
      <c r="F67" s="48">
        <f t="shared" si="5"/>
        <v>0.7071067811865475</v>
      </c>
      <c r="G67" s="28">
        <f t="shared" si="7"/>
        <v>0.8861846391896997</v>
      </c>
    </row>
    <row r="68" spans="2:7" ht="12">
      <c r="B68" s="50">
        <v>2000</v>
      </c>
      <c r="C68" s="94">
        <f t="shared" si="4"/>
        <v>92.15686274509804</v>
      </c>
      <c r="D68" s="29">
        <f t="shared" si="4"/>
        <v>40</v>
      </c>
      <c r="E68" s="58">
        <f t="shared" si="6"/>
        <v>2.4669302064117415</v>
      </c>
      <c r="F68" s="48">
        <f t="shared" si="5"/>
        <v>0.4472135954999579</v>
      </c>
      <c r="G68" s="28">
        <f t="shared" si="7"/>
        <v>1.1032447274568482</v>
      </c>
    </row>
    <row r="69" spans="2:7" ht="12">
      <c r="B69" s="50">
        <v>3000</v>
      </c>
      <c r="C69" s="94">
        <f t="shared" si="4"/>
        <v>88.62745098039215</v>
      </c>
      <c r="D69" s="29">
        <f t="shared" si="4"/>
        <v>40</v>
      </c>
      <c r="E69" s="58">
        <f t="shared" si="6"/>
        <v>3.7036287863536055</v>
      </c>
      <c r="F69" s="48">
        <f t="shared" si="5"/>
        <v>0.31622776601683794</v>
      </c>
      <c r="G69" s="28">
        <f t="shared" si="7"/>
        <v>1.1711902572642534</v>
      </c>
    </row>
    <row r="70" spans="2:7" ht="12">
      <c r="B70" s="50">
        <v>4000</v>
      </c>
      <c r="C70" s="94">
        <f t="shared" si="4"/>
        <v>86.11764705882354</v>
      </c>
      <c r="D70" s="29">
        <f t="shared" si="4"/>
        <v>40</v>
      </c>
      <c r="E70" s="58">
        <f t="shared" si="6"/>
        <v>4.9444461011588245</v>
      </c>
      <c r="F70" s="48">
        <f t="shared" si="5"/>
        <v>0.24253562503633297</v>
      </c>
      <c r="G70" s="28">
        <f t="shared" si="7"/>
        <v>1.1992043256030152</v>
      </c>
    </row>
    <row r="71" spans="2:7" ht="12">
      <c r="B71" s="50">
        <v>5000</v>
      </c>
      <c r="C71" s="94">
        <f t="shared" si="4"/>
        <v>84.15686274509804</v>
      </c>
      <c r="D71" s="29">
        <f t="shared" si="4"/>
        <v>40</v>
      </c>
      <c r="E71" s="58">
        <f t="shared" si="6"/>
        <v>6.19664851296678</v>
      </c>
      <c r="F71" s="48">
        <f t="shared" si="5"/>
        <v>0.19611613513818404</v>
      </c>
      <c r="G71" s="28">
        <f t="shared" si="7"/>
        <v>1.2152627571728203</v>
      </c>
    </row>
    <row r="72" spans="2:7" ht="12">
      <c r="B72" s="50">
        <v>6000</v>
      </c>
      <c r="C72" s="94">
        <f t="shared" si="4"/>
        <v>82.52549019607844</v>
      </c>
      <c r="D72" s="29">
        <f t="shared" si="4"/>
        <v>40</v>
      </c>
      <c r="E72" s="58">
        <f t="shared" si="6"/>
        <v>7.476967453262772</v>
      </c>
      <c r="F72" s="48">
        <f t="shared" si="5"/>
        <v>0.1643989873053573</v>
      </c>
      <c r="G72" s="28">
        <f t="shared" si="7"/>
        <v>1.2292058774315162</v>
      </c>
    </row>
    <row r="73" spans="2:7" ht="12">
      <c r="B73" s="50">
        <v>7000</v>
      </c>
      <c r="C73" s="94">
        <f t="shared" si="4"/>
        <v>81.17647058823529</v>
      </c>
      <c r="D73" s="29">
        <f t="shared" si="4"/>
        <v>40</v>
      </c>
      <c r="E73" s="58">
        <f t="shared" si="6"/>
        <v>8.733261623828433</v>
      </c>
      <c r="F73" s="48">
        <f t="shared" si="5"/>
        <v>0.14142135623730953</v>
      </c>
      <c r="G73" s="28">
        <f t="shared" si="7"/>
        <v>1.2350697032170652</v>
      </c>
    </row>
    <row r="74" spans="2:7" ht="12">
      <c r="B74" s="50">
        <v>8000</v>
      </c>
      <c r="C74" s="94">
        <f t="shared" si="4"/>
        <v>80</v>
      </c>
      <c r="D74" s="29">
        <f t="shared" si="4"/>
        <v>40</v>
      </c>
      <c r="E74" s="58">
        <f t="shared" si="6"/>
        <v>10</v>
      </c>
      <c r="F74" s="48">
        <f t="shared" si="5"/>
        <v>0.12403473458920847</v>
      </c>
      <c r="G74" s="28">
        <f t="shared" si="7"/>
        <v>1.2403473458920846</v>
      </c>
    </row>
    <row r="75" spans="2:7" ht="12">
      <c r="B75" s="50">
        <v>9000</v>
      </c>
      <c r="C75" s="94">
        <f t="shared" si="4"/>
        <v>78.98039215686275</v>
      </c>
      <c r="D75" s="29">
        <f t="shared" si="4"/>
        <v>40</v>
      </c>
      <c r="E75" s="58">
        <f t="shared" si="6"/>
        <v>11.24554200629805</v>
      </c>
      <c r="F75" s="48">
        <f t="shared" si="5"/>
        <v>0.11043152607484653</v>
      </c>
      <c r="G75" s="28">
        <f t="shared" si="7"/>
        <v>1.241862365294285</v>
      </c>
    </row>
    <row r="76" spans="2:7" ht="12">
      <c r="B76" s="50">
        <v>10000</v>
      </c>
      <c r="C76" s="94">
        <f t="shared" si="4"/>
        <v>78.0392156862745</v>
      </c>
      <c r="D76" s="29">
        <f t="shared" si="4"/>
        <v>40</v>
      </c>
      <c r="E76" s="58">
        <f t="shared" si="6"/>
        <v>12.532543355087805</v>
      </c>
      <c r="F76" s="48">
        <f t="shared" si="5"/>
        <v>0.09950371902099892</v>
      </c>
      <c r="G76" s="28">
        <f t="shared" si="7"/>
        <v>1.247034672623144</v>
      </c>
    </row>
    <row r="77" spans="2:7" ht="12">
      <c r="B77" s="50">
        <v>20000</v>
      </c>
      <c r="C77" s="94">
        <f t="shared" si="4"/>
        <v>71.76470588235294</v>
      </c>
      <c r="D77" s="29">
        <f t="shared" si="4"/>
        <v>40</v>
      </c>
      <c r="E77" s="58">
        <f t="shared" si="6"/>
        <v>25.808615404180728</v>
      </c>
      <c r="F77" s="48">
        <f t="shared" si="5"/>
        <v>0.04993761694389223</v>
      </c>
      <c r="G77" s="28">
        <f t="shared" si="7"/>
        <v>1.2888207499062136</v>
      </c>
    </row>
    <row r="78" spans="2:7" ht="12">
      <c r="B78" s="50">
        <v>30000</v>
      </c>
      <c r="C78" s="94">
        <f t="shared" si="4"/>
        <v>68.62745098039215</v>
      </c>
      <c r="D78" s="29">
        <f t="shared" si="4"/>
        <v>40</v>
      </c>
      <c r="E78" s="58">
        <f t="shared" si="6"/>
        <v>37.03628786353606</v>
      </c>
      <c r="F78" s="48">
        <f t="shared" si="5"/>
        <v>0.03331483023263848</v>
      </c>
      <c r="G78" s="28">
        <f t="shared" si="7"/>
        <v>1.2338576426208328</v>
      </c>
    </row>
    <row r="79" spans="2:7" ht="12">
      <c r="B79" s="50">
        <v>40000</v>
      </c>
      <c r="C79" s="94">
        <f t="shared" si="4"/>
        <v>67.05882352941177</v>
      </c>
      <c r="D79" s="29">
        <f t="shared" si="4"/>
        <v>40</v>
      </c>
      <c r="E79" s="58">
        <f t="shared" si="6"/>
        <v>44.36687330978609</v>
      </c>
      <c r="F79" s="48">
        <f t="shared" si="5"/>
        <v>0.02499219116020307</v>
      </c>
      <c r="G79" s="28">
        <f t="shared" si="7"/>
        <v>1.1088253789386853</v>
      </c>
    </row>
    <row r="80" spans="2:7" ht="12">
      <c r="B80" s="50">
        <v>50000</v>
      </c>
      <c r="C80" s="94">
        <f t="shared" si="4"/>
        <v>66.27450980392157</v>
      </c>
      <c r="D80" s="29">
        <f t="shared" si="4"/>
        <v>40</v>
      </c>
      <c r="E80" s="58">
        <f t="shared" si="6"/>
        <v>48.55953393399648</v>
      </c>
      <c r="F80" s="48">
        <f t="shared" si="5"/>
        <v>0.019996001199600145</v>
      </c>
      <c r="G80" s="28">
        <f t="shared" si="7"/>
        <v>0.9709964987962175</v>
      </c>
    </row>
    <row r="81" spans="2:7" ht="12">
      <c r="B81" s="50">
        <v>60000</v>
      </c>
      <c r="C81" s="94">
        <f t="shared" si="4"/>
        <v>65.49019607843137</v>
      </c>
      <c r="D81" s="29">
        <f t="shared" si="4"/>
        <v>40</v>
      </c>
      <c r="E81" s="58">
        <f t="shared" si="6"/>
        <v>53.14840014580978</v>
      </c>
      <c r="F81" s="48">
        <f t="shared" si="5"/>
        <v>0.016664352333993333</v>
      </c>
      <c r="G81" s="28">
        <f t="shared" si="7"/>
        <v>0.8856836660178369</v>
      </c>
    </row>
    <row r="82" spans="2:7" ht="12">
      <c r="B82" s="50">
        <v>70000</v>
      </c>
      <c r="C82" s="94">
        <f t="shared" si="4"/>
        <v>65.09803921568627</v>
      </c>
      <c r="D82" s="29">
        <f t="shared" si="4"/>
        <v>40</v>
      </c>
      <c r="E82" s="58">
        <f t="shared" si="6"/>
        <v>55.60297632845827</v>
      </c>
      <c r="F82" s="48">
        <f t="shared" si="5"/>
        <v>0.014284256782850143</v>
      </c>
      <c r="G82" s="28">
        <f t="shared" si="7"/>
        <v>0.794247191766436</v>
      </c>
    </row>
    <row r="83" spans="2:7" ht="12">
      <c r="B83" s="50">
        <v>80000</v>
      </c>
      <c r="C83" s="94">
        <f t="shared" si="4"/>
        <v>64.70588235294117</v>
      </c>
      <c r="D83" s="29">
        <f t="shared" si="4"/>
        <v>40</v>
      </c>
      <c r="E83" s="58">
        <f t="shared" si="6"/>
        <v>58.17091329374359</v>
      </c>
      <c r="F83" s="48">
        <f t="shared" si="5"/>
        <v>0.01249902355192602</v>
      </c>
      <c r="G83" s="28">
        <f t="shared" si="7"/>
        <v>0.7270796152955475</v>
      </c>
    </row>
    <row r="84" spans="2:7" ht="12">
      <c r="B84" s="50">
        <v>90000</v>
      </c>
      <c r="C84" s="94">
        <f t="shared" si="4"/>
        <v>64.31372549019608</v>
      </c>
      <c r="D84" s="29">
        <f t="shared" si="4"/>
        <v>40</v>
      </c>
      <c r="E84" s="58">
        <f t="shared" si="6"/>
        <v>60.85744643306688</v>
      </c>
      <c r="F84" s="48">
        <f t="shared" si="5"/>
        <v>0.011110425303554916</v>
      </c>
      <c r="G84" s="28">
        <f t="shared" si="7"/>
        <v>0.6761521127596841</v>
      </c>
    </row>
    <row r="85" spans="2:7" ht="12">
      <c r="B85" s="50">
        <v>100000</v>
      </c>
      <c r="C85" s="94">
        <f t="shared" si="4"/>
        <v>63.92156862745098</v>
      </c>
      <c r="D85" s="29">
        <f t="shared" si="4"/>
        <v>40</v>
      </c>
      <c r="E85" s="58">
        <f t="shared" si="6"/>
        <v>63.66805292623691</v>
      </c>
      <c r="F85" s="48">
        <f t="shared" si="5"/>
        <v>0.009999500037496877</v>
      </c>
      <c r="G85" s="28">
        <f t="shared" si="7"/>
        <v>0.6366486976232592</v>
      </c>
    </row>
    <row r="86" spans="2:7" ht="12.75" thickBot="1">
      <c r="B86" s="51">
        <v>1000000</v>
      </c>
      <c r="C86" s="141">
        <f t="shared" si="4"/>
        <v>60</v>
      </c>
      <c r="D86" s="52">
        <f t="shared" si="4"/>
        <v>40</v>
      </c>
      <c r="E86" s="38">
        <f t="shared" si="6"/>
        <v>100</v>
      </c>
      <c r="F86" s="49">
        <f t="shared" si="5"/>
        <v>0.000999999500000375</v>
      </c>
      <c r="G86" s="30">
        <f t="shared" si="7"/>
        <v>0.0999999500000375</v>
      </c>
    </row>
    <row r="87" spans="3:9" ht="12">
      <c r="C87" s="31" t="s">
        <v>77</v>
      </c>
      <c r="D87" s="22"/>
      <c r="E87" s="32" t="s">
        <v>75</v>
      </c>
      <c r="F87" s="40" t="s">
        <v>76</v>
      </c>
      <c r="I87" s="14" t="s">
        <v>57</v>
      </c>
    </row>
    <row r="88" spans="1:8" ht="12">
      <c r="A88"/>
      <c r="B88"/>
      <c r="C88"/>
      <c r="D88"/>
      <c r="E88"/>
      <c r="F88"/>
      <c r="G88"/>
      <c r="H88"/>
    </row>
    <row r="89" spans="1:8" ht="12">
      <c r="A89"/>
      <c r="B89"/>
      <c r="C89"/>
      <c r="D89"/>
      <c r="E89"/>
      <c r="F89"/>
      <c r="G89"/>
      <c r="H89"/>
    </row>
    <row r="90" spans="1:8" ht="12">
      <c r="A90"/>
      <c r="B90"/>
      <c r="C90"/>
      <c r="D90"/>
      <c r="E90"/>
      <c r="F90"/>
      <c r="G90"/>
      <c r="H90"/>
    </row>
    <row r="91" spans="1:8" ht="12">
      <c r="A91"/>
      <c r="B91"/>
      <c r="C91"/>
      <c r="D91"/>
      <c r="E91"/>
      <c r="F91"/>
      <c r="G91"/>
      <c r="H91"/>
    </row>
    <row r="92" spans="1:8" ht="12">
      <c r="A92"/>
      <c r="B92" s="3" t="s">
        <v>53</v>
      </c>
      <c r="C92"/>
      <c r="D92" s="14" t="s">
        <v>56</v>
      </c>
      <c r="E92"/>
      <c r="F92"/>
      <c r="G92"/>
      <c r="H92"/>
    </row>
    <row r="93" spans="1:8" ht="12">
      <c r="A93"/>
      <c r="B93"/>
      <c r="C93"/>
      <c r="D93"/>
      <c r="E93"/>
      <c r="F93"/>
      <c r="G93"/>
      <c r="H93"/>
    </row>
    <row r="94" spans="1:8" ht="12">
      <c r="A94"/>
      <c r="B94" s="4"/>
      <c r="E94"/>
      <c r="F94"/>
      <c r="G94"/>
      <c r="H94"/>
    </row>
    <row r="95" spans="1:8" ht="12">
      <c r="A95"/>
      <c r="B95"/>
      <c r="C95"/>
      <c r="D95"/>
      <c r="E95"/>
      <c r="F95"/>
      <c r="G95"/>
      <c r="H95"/>
    </row>
    <row r="96" spans="1:8" ht="12">
      <c r="A96"/>
      <c r="B96"/>
      <c r="C96"/>
      <c r="D96"/>
      <c r="E96"/>
      <c r="F96"/>
      <c r="G96"/>
      <c r="H96"/>
    </row>
    <row r="97" spans="1:8" ht="12">
      <c r="A97"/>
      <c r="B97"/>
      <c r="C97"/>
      <c r="D97"/>
      <c r="E97"/>
      <c r="F97"/>
      <c r="G97"/>
      <c r="H97"/>
    </row>
    <row r="98" spans="1:8" ht="12">
      <c r="A98"/>
      <c r="B98"/>
      <c r="C98"/>
      <c r="D98"/>
      <c r="E98"/>
      <c r="F98"/>
      <c r="G98"/>
      <c r="H98"/>
    </row>
    <row r="99" spans="1:8" ht="12">
      <c r="A99"/>
      <c r="B99"/>
      <c r="C99"/>
      <c r="D99"/>
      <c r="E99"/>
      <c r="F99"/>
      <c r="G99"/>
      <c r="H99"/>
    </row>
    <row r="100" spans="1:8" ht="12">
      <c r="A100"/>
      <c r="B100"/>
      <c r="C100"/>
      <c r="D100"/>
      <c r="E100"/>
      <c r="F100"/>
      <c r="G100"/>
      <c r="H100"/>
    </row>
    <row r="101" spans="1:8" ht="12">
      <c r="A101"/>
      <c r="B101"/>
      <c r="C101"/>
      <c r="D101"/>
      <c r="E101"/>
      <c r="F101"/>
      <c r="G101"/>
      <c r="H101"/>
    </row>
    <row r="102" spans="1:8" ht="12">
      <c r="A102"/>
      <c r="B102"/>
      <c r="C102"/>
      <c r="D102"/>
      <c r="E102"/>
      <c r="F102"/>
      <c r="G102"/>
      <c r="H102"/>
    </row>
    <row r="103" spans="1:8" ht="12">
      <c r="A103"/>
      <c r="B103"/>
      <c r="C103"/>
      <c r="D103"/>
      <c r="E103"/>
      <c r="F103"/>
      <c r="G103"/>
      <c r="H103"/>
    </row>
    <row r="104" spans="1:8" ht="12">
      <c r="A104"/>
      <c r="B104"/>
      <c r="C104"/>
      <c r="D104"/>
      <c r="E104"/>
      <c r="F104"/>
      <c r="G104"/>
      <c r="H104"/>
    </row>
    <row r="105" spans="1:8" ht="12">
      <c r="A105"/>
      <c r="B105"/>
      <c r="C105"/>
      <c r="D105"/>
      <c r="E105"/>
      <c r="F105"/>
      <c r="G105"/>
      <c r="H105"/>
    </row>
    <row r="106" spans="1:8" ht="12">
      <c r="A106"/>
      <c r="B106"/>
      <c r="C106"/>
      <c r="D106"/>
      <c r="E106"/>
      <c r="F106"/>
      <c r="G106"/>
      <c r="H106"/>
    </row>
    <row r="107" spans="1:8" ht="12">
      <c r="A107"/>
      <c r="B107"/>
      <c r="C107"/>
      <c r="D107"/>
      <c r="E107"/>
      <c r="F107"/>
      <c r="G107"/>
      <c r="H107"/>
    </row>
    <row r="108" spans="1:8" ht="12">
      <c r="A108"/>
      <c r="B108"/>
      <c r="C108"/>
      <c r="D108"/>
      <c r="E108"/>
      <c r="F108"/>
      <c r="G108"/>
      <c r="H108"/>
    </row>
    <row r="109" spans="1:8" ht="12">
      <c r="A109"/>
      <c r="B109"/>
      <c r="C109"/>
      <c r="D109"/>
      <c r="E109"/>
      <c r="F109"/>
      <c r="G109"/>
      <c r="H109"/>
    </row>
    <row r="110" spans="1:8" ht="12">
      <c r="A110"/>
      <c r="B110"/>
      <c r="C110"/>
      <c r="D110"/>
      <c r="E110"/>
      <c r="F110"/>
      <c r="G110"/>
      <c r="H110"/>
    </row>
    <row r="111" spans="1:8" ht="12">
      <c r="A111"/>
      <c r="B111"/>
      <c r="C111"/>
      <c r="D111"/>
      <c r="E111"/>
      <c r="F111"/>
      <c r="G111"/>
      <c r="H111"/>
    </row>
    <row r="112" spans="1:8" ht="12">
      <c r="A112"/>
      <c r="B112"/>
      <c r="C112"/>
      <c r="D112"/>
      <c r="E112"/>
      <c r="F112"/>
      <c r="G112"/>
      <c r="H112"/>
    </row>
    <row r="113" spans="1:8" ht="12">
      <c r="A113"/>
      <c r="B113"/>
      <c r="C113"/>
      <c r="D113"/>
      <c r="E113"/>
      <c r="F113"/>
      <c r="G113"/>
      <c r="H113"/>
    </row>
    <row r="114" spans="1:8" ht="12">
      <c r="A114"/>
      <c r="B114"/>
      <c r="C114"/>
      <c r="D114"/>
      <c r="E114"/>
      <c r="F114"/>
      <c r="G114"/>
      <c r="H114"/>
    </row>
    <row r="115" spans="1:8" ht="12">
      <c r="A115"/>
      <c r="B115"/>
      <c r="C115"/>
      <c r="D115"/>
      <c r="E115"/>
      <c r="F115"/>
      <c r="G115"/>
      <c r="H115"/>
    </row>
    <row r="116" spans="1:8" ht="12">
      <c r="A116"/>
      <c r="B116"/>
      <c r="C116"/>
      <c r="D116"/>
      <c r="E116"/>
      <c r="F116"/>
      <c r="G116"/>
      <c r="H116"/>
    </row>
    <row r="117" spans="1:8" ht="12">
      <c r="A117"/>
      <c r="B117"/>
      <c r="C117"/>
      <c r="D117"/>
      <c r="E117"/>
      <c r="F117"/>
      <c r="G117"/>
      <c r="H117"/>
    </row>
    <row r="118" spans="1:8" ht="12">
      <c r="A118"/>
      <c r="B118"/>
      <c r="C118"/>
      <c r="D118"/>
      <c r="E118"/>
      <c r="F118"/>
      <c r="G118"/>
      <c r="H118"/>
    </row>
    <row r="119" spans="1:8" ht="12">
      <c r="A119"/>
      <c r="B119"/>
      <c r="C119"/>
      <c r="D119"/>
      <c r="E119"/>
      <c r="F119"/>
      <c r="G119"/>
      <c r="H119"/>
    </row>
    <row r="120" spans="1:8" ht="12">
      <c r="A120"/>
      <c r="B120"/>
      <c r="C120"/>
      <c r="D120"/>
      <c r="E120"/>
      <c r="F120"/>
      <c r="G120"/>
      <c r="H120"/>
    </row>
    <row r="121" spans="1:8" ht="12">
      <c r="A121"/>
      <c r="B121"/>
      <c r="C121"/>
      <c r="D121"/>
      <c r="E121"/>
      <c r="F121"/>
      <c r="G121"/>
      <c r="H121"/>
    </row>
    <row r="122" spans="1:8" ht="12">
      <c r="A122"/>
      <c r="B122"/>
      <c r="C122"/>
      <c r="D122"/>
      <c r="E122"/>
      <c r="F122"/>
      <c r="G122"/>
      <c r="H122"/>
    </row>
    <row r="123" spans="1:8" ht="12">
      <c r="A123"/>
      <c r="B123"/>
      <c r="C123"/>
      <c r="D123"/>
      <c r="E123"/>
      <c r="F123"/>
      <c r="G123"/>
      <c r="H123"/>
    </row>
    <row r="124" spans="1:8" ht="12">
      <c r="A124"/>
      <c r="B124"/>
      <c r="C124"/>
      <c r="D124"/>
      <c r="E124"/>
      <c r="F124"/>
      <c r="G124"/>
      <c r="H124"/>
    </row>
    <row r="125" spans="1:8" ht="12">
      <c r="A125"/>
      <c r="B125"/>
      <c r="C125"/>
      <c r="D125"/>
      <c r="E125"/>
      <c r="F125"/>
      <c r="G125"/>
      <c r="H125"/>
    </row>
    <row r="126" spans="1:8" ht="12">
      <c r="A126"/>
      <c r="B126"/>
      <c r="C126"/>
      <c r="D126"/>
      <c r="E126"/>
      <c r="F126"/>
      <c r="G126"/>
      <c r="H126"/>
    </row>
    <row r="127" spans="1:8" ht="12">
      <c r="A127"/>
      <c r="B127"/>
      <c r="C127"/>
      <c r="D127"/>
      <c r="E127"/>
      <c r="F127"/>
      <c r="G127"/>
      <c r="H127"/>
    </row>
    <row r="128" spans="1:8" ht="12">
      <c r="A128"/>
      <c r="B128"/>
      <c r="C128"/>
      <c r="D128"/>
      <c r="E128"/>
      <c r="F128"/>
      <c r="G128"/>
      <c r="H128"/>
    </row>
    <row r="129" spans="1:8" ht="12">
      <c r="A129"/>
      <c r="B129"/>
      <c r="C129"/>
      <c r="D129"/>
      <c r="E129"/>
      <c r="F129"/>
      <c r="G129"/>
      <c r="H129"/>
    </row>
    <row r="130" spans="1:8" ht="12">
      <c r="A130"/>
      <c r="B130"/>
      <c r="C130"/>
      <c r="D130"/>
      <c r="E130"/>
      <c r="F130"/>
      <c r="G130"/>
      <c r="H130"/>
    </row>
    <row r="131" spans="1:8" ht="12">
      <c r="A131"/>
      <c r="B131"/>
      <c r="C131"/>
      <c r="D131"/>
      <c r="E131"/>
      <c r="F131"/>
      <c r="G131"/>
      <c r="H131"/>
    </row>
    <row r="132" spans="1:8" ht="12">
      <c r="A132"/>
      <c r="B132"/>
      <c r="C132"/>
      <c r="D132"/>
      <c r="E132"/>
      <c r="F132"/>
      <c r="G132"/>
      <c r="H132"/>
    </row>
    <row r="133" spans="1:8" ht="12">
      <c r="A133"/>
      <c r="B133"/>
      <c r="C133"/>
      <c r="D133"/>
      <c r="E133"/>
      <c r="F133"/>
      <c r="G133"/>
      <c r="H133"/>
    </row>
    <row r="134" spans="1:8" ht="12">
      <c r="A134"/>
      <c r="B134"/>
      <c r="C134"/>
      <c r="D134"/>
      <c r="E134"/>
      <c r="F134"/>
      <c r="G134"/>
      <c r="H134"/>
    </row>
    <row r="135" spans="1:8" ht="12">
      <c r="A135"/>
      <c r="B135"/>
      <c r="C135"/>
      <c r="D135"/>
      <c r="E135"/>
      <c r="F135"/>
      <c r="G135"/>
      <c r="H135"/>
    </row>
    <row r="136" spans="1:8" ht="12">
      <c r="A136"/>
      <c r="B136"/>
      <c r="C136"/>
      <c r="D136"/>
      <c r="E136"/>
      <c r="F136"/>
      <c r="G136"/>
      <c r="H136"/>
    </row>
    <row r="137" spans="1:8" ht="12">
      <c r="A137"/>
      <c r="B137"/>
      <c r="C137"/>
      <c r="D137"/>
      <c r="E137"/>
      <c r="F137"/>
      <c r="G137"/>
      <c r="H137"/>
    </row>
    <row r="138" spans="1:8" ht="12">
      <c r="A138"/>
      <c r="B138"/>
      <c r="C138"/>
      <c r="D138"/>
      <c r="E138"/>
      <c r="F138"/>
      <c r="G138"/>
      <c r="H138"/>
    </row>
    <row r="139" spans="1:8" ht="12">
      <c r="A139"/>
      <c r="B139"/>
      <c r="C139"/>
      <c r="D139"/>
      <c r="E139"/>
      <c r="F139"/>
      <c r="G139"/>
      <c r="H139"/>
    </row>
    <row r="140" spans="1:8" ht="12">
      <c r="A140"/>
      <c r="B140"/>
      <c r="C140"/>
      <c r="D140"/>
      <c r="E140"/>
      <c r="F140"/>
      <c r="G140"/>
      <c r="H140"/>
    </row>
    <row r="141" spans="1:8" ht="12">
      <c r="A141"/>
      <c r="B141"/>
      <c r="C141"/>
      <c r="D141"/>
      <c r="E141"/>
      <c r="F141"/>
      <c r="G141"/>
      <c r="H141"/>
    </row>
    <row r="142" spans="1:8" ht="12">
      <c r="A142"/>
      <c r="B142"/>
      <c r="C142"/>
      <c r="D142"/>
      <c r="E142"/>
      <c r="F142"/>
      <c r="G142"/>
      <c r="H142"/>
    </row>
    <row r="143" spans="1:8" ht="12">
      <c r="A143"/>
      <c r="B143"/>
      <c r="C143"/>
      <c r="D143"/>
      <c r="E143"/>
      <c r="F143"/>
      <c r="G143"/>
      <c r="H143"/>
    </row>
    <row r="144" spans="1:8" ht="12">
      <c r="A144"/>
      <c r="B144"/>
      <c r="C144"/>
      <c r="D144"/>
      <c r="E144"/>
      <c r="F144"/>
      <c r="G144"/>
      <c r="H144"/>
    </row>
    <row r="145" spans="1:8" ht="12">
      <c r="A145"/>
      <c r="B145"/>
      <c r="C145"/>
      <c r="D145"/>
      <c r="E145"/>
      <c r="F145"/>
      <c r="G145"/>
      <c r="H145"/>
    </row>
    <row r="146" spans="1:8" ht="12">
      <c r="A146"/>
      <c r="B146"/>
      <c r="C146"/>
      <c r="D146"/>
      <c r="E146"/>
      <c r="F146"/>
      <c r="G146"/>
      <c r="H146"/>
    </row>
    <row r="147" spans="1:8" ht="12">
      <c r="A147"/>
      <c r="B147"/>
      <c r="C147"/>
      <c r="D147"/>
      <c r="E147"/>
      <c r="F147"/>
      <c r="G147"/>
      <c r="H147"/>
    </row>
    <row r="148" spans="1:8" ht="12">
      <c r="A148"/>
      <c r="B148"/>
      <c r="C148"/>
      <c r="D148"/>
      <c r="E148"/>
      <c r="F148"/>
      <c r="G148"/>
      <c r="H148"/>
    </row>
    <row r="149" spans="1:8" ht="12">
      <c r="A149"/>
      <c r="B149"/>
      <c r="C149"/>
      <c r="D149"/>
      <c r="E149"/>
      <c r="F149"/>
      <c r="G149"/>
      <c r="H149"/>
    </row>
    <row r="150" spans="1:8" ht="12">
      <c r="A150"/>
      <c r="B150"/>
      <c r="C150"/>
      <c r="D150"/>
      <c r="E150"/>
      <c r="F150"/>
      <c r="G150"/>
      <c r="H150"/>
    </row>
    <row r="151" spans="1:8" ht="12">
      <c r="A151"/>
      <c r="B151"/>
      <c r="C151"/>
      <c r="D151"/>
      <c r="E151"/>
      <c r="F151"/>
      <c r="G151"/>
      <c r="H151"/>
    </row>
    <row r="152" spans="1:8" ht="12">
      <c r="A152"/>
      <c r="B152"/>
      <c r="C152"/>
      <c r="D152"/>
      <c r="E152"/>
      <c r="F152"/>
      <c r="G152"/>
      <c r="H152"/>
    </row>
    <row r="153" spans="1:8" ht="12">
      <c r="A153"/>
      <c r="B153"/>
      <c r="C153"/>
      <c r="D153"/>
      <c r="E153"/>
      <c r="F153"/>
      <c r="G153"/>
      <c r="H153"/>
    </row>
    <row r="154" spans="1:8" ht="12">
      <c r="A154"/>
      <c r="B154"/>
      <c r="C154"/>
      <c r="D154"/>
      <c r="E154"/>
      <c r="F154"/>
      <c r="G154"/>
      <c r="H154"/>
    </row>
    <row r="155" spans="1:8" ht="12">
      <c r="A155"/>
      <c r="B155"/>
      <c r="C155"/>
      <c r="D155"/>
      <c r="E155"/>
      <c r="F155"/>
      <c r="G155"/>
      <c r="H155"/>
    </row>
    <row r="156" spans="1:8" ht="12">
      <c r="A156"/>
      <c r="B156"/>
      <c r="C156"/>
      <c r="D156"/>
      <c r="E156"/>
      <c r="F156"/>
      <c r="G156"/>
      <c r="H156"/>
    </row>
    <row r="157" spans="1:8" ht="12">
      <c r="A157"/>
      <c r="B157"/>
      <c r="C157"/>
      <c r="D157"/>
      <c r="E157"/>
      <c r="F157"/>
      <c r="G157"/>
      <c r="H157"/>
    </row>
    <row r="158" spans="1:8" ht="12">
      <c r="A158"/>
      <c r="B158"/>
      <c r="C158"/>
      <c r="D158"/>
      <c r="E158"/>
      <c r="F158"/>
      <c r="G158"/>
      <c r="H158"/>
    </row>
    <row r="159" spans="1:8" ht="12">
      <c r="A159"/>
      <c r="B159"/>
      <c r="C159"/>
      <c r="D159"/>
      <c r="E159"/>
      <c r="F159"/>
      <c r="G159"/>
      <c r="H159"/>
    </row>
    <row r="160" spans="1:8" ht="12">
      <c r="A160"/>
      <c r="B160"/>
      <c r="C160"/>
      <c r="D160"/>
      <c r="E160"/>
      <c r="F160"/>
      <c r="G160"/>
      <c r="H160"/>
    </row>
    <row r="161" spans="1:8" ht="12">
      <c r="A161"/>
      <c r="B161"/>
      <c r="C161"/>
      <c r="D161"/>
      <c r="E161"/>
      <c r="F161"/>
      <c r="G161"/>
      <c r="H161"/>
    </row>
    <row r="162" spans="1:8" ht="12">
      <c r="A162"/>
      <c r="B162"/>
      <c r="C162"/>
      <c r="D162"/>
      <c r="E162"/>
      <c r="F162"/>
      <c r="G162"/>
      <c r="H162"/>
    </row>
    <row r="163" spans="1:8" ht="12">
      <c r="A163"/>
      <c r="B163"/>
      <c r="C163"/>
      <c r="D163"/>
      <c r="E163"/>
      <c r="F163"/>
      <c r="G163"/>
      <c r="H163"/>
    </row>
    <row r="164" spans="1:8" ht="12">
      <c r="A164"/>
      <c r="B164"/>
      <c r="C164"/>
      <c r="D164"/>
      <c r="E164"/>
      <c r="F164"/>
      <c r="G164"/>
      <c r="H164"/>
    </row>
    <row r="165" spans="1:8" ht="12">
      <c r="A165"/>
      <c r="B165"/>
      <c r="C165"/>
      <c r="D165"/>
      <c r="E165"/>
      <c r="F165"/>
      <c r="G165"/>
      <c r="H165"/>
    </row>
    <row r="166" spans="1:8" ht="12">
      <c r="A166"/>
      <c r="B166"/>
      <c r="C166"/>
      <c r="D166"/>
      <c r="E166"/>
      <c r="F166"/>
      <c r="G166"/>
      <c r="H166"/>
    </row>
  </sheetData>
  <mergeCells count="6">
    <mergeCell ref="B11:B12"/>
    <mergeCell ref="B53:B54"/>
    <mergeCell ref="C53:C54"/>
    <mergeCell ref="D53:D54"/>
    <mergeCell ref="D11:D12"/>
    <mergeCell ref="C11:C12"/>
  </mergeCells>
  <printOptions/>
  <pageMargins left="0" right="0" top="0" bottom="0" header="0" footer="0"/>
  <pageSetup orientation="landscape" paperSize="9"/>
  <drawing r:id="rId1"/>
</worksheet>
</file>

<file path=xl/worksheets/sheet3.xml><?xml version="1.0" encoding="utf-8"?>
<worksheet xmlns="http://schemas.openxmlformats.org/spreadsheetml/2006/main" xmlns:r="http://schemas.openxmlformats.org/officeDocument/2006/relationships">
  <dimension ref="B1:X49"/>
  <sheetViews>
    <sheetView workbookViewId="0" topLeftCell="B1">
      <selection activeCell="R1" sqref="R1:R65536"/>
    </sheetView>
  </sheetViews>
  <sheetFormatPr defaultColWidth="7.7109375" defaultRowHeight="12.75"/>
  <cols>
    <col min="1" max="1" width="2.421875" style="4" customWidth="1"/>
    <col min="2" max="2" width="7.7109375" style="3" customWidth="1"/>
    <col min="3" max="3" width="7.28125" style="5" customWidth="1"/>
    <col min="4" max="4" width="6.8515625" style="4" customWidth="1"/>
    <col min="5" max="5" width="5.7109375" style="8" customWidth="1"/>
    <col min="6" max="6" width="6.28125" style="8" customWidth="1"/>
    <col min="7" max="7" width="6.28125" style="7" customWidth="1"/>
    <col min="8" max="11" width="7.00390625" style="4" customWidth="1"/>
    <col min="12" max="12" width="7.421875" style="4" customWidth="1"/>
    <col min="13" max="13" width="9.140625" style="0" bestFit="1" customWidth="1"/>
    <col min="14" max="15" width="7.421875" style="0" customWidth="1"/>
    <col min="16" max="16" width="4.28125" style="4" customWidth="1"/>
    <col min="17" max="17" width="14.421875" style="4" customWidth="1"/>
    <col min="18" max="18" width="8.00390625" style="4" bestFit="1" customWidth="1"/>
    <col min="19" max="16384" width="7.7109375" style="4" customWidth="1"/>
  </cols>
  <sheetData>
    <row r="1" spans="2:24" ht="24" customHeight="1">
      <c r="B1" s="95" t="s">
        <v>38</v>
      </c>
      <c r="R1" s="66"/>
      <c r="S1" s="23" t="s">
        <v>4</v>
      </c>
      <c r="T1" s="23" t="s">
        <v>6</v>
      </c>
      <c r="U1" s="23" t="s">
        <v>7</v>
      </c>
      <c r="V1" s="23" t="s">
        <v>4</v>
      </c>
      <c r="W1" s="23" t="s">
        <v>6</v>
      </c>
      <c r="X1" s="23" t="s">
        <v>7</v>
      </c>
    </row>
    <row r="2" spans="18:24" ht="10.5" customHeight="1">
      <c r="R2" s="66"/>
      <c r="S2" s="60">
        <v>1</v>
      </c>
      <c r="T2" s="61">
        <f>1/SQRT(1+(2*PI()*S2*($N$13+$N$13)*($N$21+($N$12*$N$12)/(N$12+N$12)))^2)</f>
        <v>0.9998170870854438</v>
      </c>
      <c r="U2" s="43">
        <f>20*LOG(T2)</f>
        <v>-0.001588906709420886</v>
      </c>
      <c r="V2" s="60">
        <v>1</v>
      </c>
      <c r="W2" s="61">
        <f>1/SQRT(1+(2*PI()*V2*($N$13+$N$13)*($O$21+($N$12*$N$12)/(N$12+N$12)))^2)</f>
        <v>0.9989988516107254</v>
      </c>
      <c r="X2" s="43">
        <f>20*LOG(W2)</f>
        <v>-0.00870022025336044</v>
      </c>
    </row>
    <row r="3" spans="18:24" ht="12">
      <c r="R3" s="67"/>
      <c r="S3" s="60">
        <v>2</v>
      </c>
      <c r="T3" s="61">
        <f>1/SQRT(1+(2*PI()*S3*($N$13+$N$13)*($N$21+($N$12*$N$12)/(N$12+N$12)))^2)</f>
        <v>0.9992689499833012</v>
      </c>
      <c r="U3" s="43">
        <f aca="true" t="shared" si="0" ref="U3:U39">20*LOG(T3)</f>
        <v>-0.0063521419146815245</v>
      </c>
      <c r="V3" s="60">
        <v>2</v>
      </c>
      <c r="W3" s="61">
        <f>1/SQRT(1+(2*PI()*V3*($N$13+$N$13)*($O$21+($N$12*$N$12)/(N$12+N$12)))^2)</f>
        <v>0.9960133520168913</v>
      </c>
      <c r="X3" s="43">
        <f aca="true" t="shared" si="1" ref="X3:X39">20*LOG(W3)</f>
        <v>-0.034696792401711196</v>
      </c>
    </row>
    <row r="4" spans="18:24" ht="12">
      <c r="R4" s="67"/>
      <c r="S4" s="60">
        <v>3</v>
      </c>
      <c r="T4" s="61">
        <f>1/SQRT(1+(2*PI()*S4*($N$13+$N$13)*($N$21+($N$12*$N$12)/(N$12+N$12)))^2)</f>
        <v>0.9983573881304716</v>
      </c>
      <c r="U4" s="43">
        <f t="shared" si="0"/>
        <v>-0.014279276284559824</v>
      </c>
      <c r="V4" s="60">
        <v>3</v>
      </c>
      <c r="W4" s="61">
        <f>1/SQRT(1+(2*PI()*V4*($N$13+$N$13)*($O$21+($N$12*$N$12)/(N$12+N$12)))^2)</f>
        <v>0.9910964526260576</v>
      </c>
      <c r="X4" s="43">
        <f t="shared" si="1"/>
        <v>-0.07768156609866554</v>
      </c>
    </row>
    <row r="5" spans="2:24" ht="12">
      <c r="B5"/>
      <c r="C5"/>
      <c r="D5"/>
      <c r="E5"/>
      <c r="F5"/>
      <c r="G5"/>
      <c r="H5"/>
      <c r="I5"/>
      <c r="J5"/>
      <c r="K5"/>
      <c r="L5"/>
      <c r="Q5" s="37"/>
      <c r="R5" s="67"/>
      <c r="S5" s="60">
        <v>4</v>
      </c>
      <c r="T5" s="61">
        <f>1/SQRT(1+(2*PI()*S5*($N$13+$N$13)*($N$21+($N$12*$N$12)/(N$12+N$12)))^2)</f>
        <v>0.9970853823940575</v>
      </c>
      <c r="U5" s="43">
        <f t="shared" si="0"/>
        <v>-0.025353012003967584</v>
      </c>
      <c r="V5" s="60">
        <v>4</v>
      </c>
      <c r="W5" s="61">
        <f>1/SQRT(1+(2*PI()*V5*($N$13+$N$13)*($O$21+($N$12*$N$12)/(N$12+N$12)))^2)</f>
        <v>0.9843335392291217</v>
      </c>
      <c r="X5" s="43">
        <f t="shared" si="1"/>
        <v>-0.1371543382397588</v>
      </c>
    </row>
    <row r="6" spans="2:24" ht="12">
      <c r="B6"/>
      <c r="C6"/>
      <c r="D6"/>
      <c r="E6"/>
      <c r="F6"/>
      <c r="G6"/>
      <c r="H6"/>
      <c r="I6"/>
      <c r="J6"/>
      <c r="K6"/>
      <c r="L6"/>
      <c r="Q6" s="37"/>
      <c r="R6" s="66"/>
      <c r="S6" s="60">
        <v>5</v>
      </c>
      <c r="T6" s="61">
        <f>1/SQRT(1+(2*PI()*S6*($N$13+$N$13)*($N$21+($N$12*$N$12)/(N$12+N$12)))^2)</f>
        <v>0.9954570681194311</v>
      </c>
      <c r="U6" s="43">
        <f t="shared" si="0"/>
        <v>-0.03954930802794101</v>
      </c>
      <c r="V6" s="60">
        <v>5</v>
      </c>
      <c r="W6" s="61">
        <f>1/SQRT(1+(2*PI()*V6*($N$13+$N$13)*($O$21+($N$12*$N$12)/(N$12+N$12)))^2)</f>
        <v>0.9758384147842943</v>
      </c>
      <c r="X6" s="43">
        <f t="shared" si="1"/>
        <v>-0.21244178964289545</v>
      </c>
    </row>
    <row r="7" spans="2:24" ht="10.5" customHeight="1">
      <c r="B7"/>
      <c r="C7"/>
      <c r="D7"/>
      <c r="E7"/>
      <c r="F7"/>
      <c r="G7"/>
      <c r="H7"/>
      <c r="I7"/>
      <c r="J7"/>
      <c r="K7"/>
      <c r="L7"/>
      <c r="Q7" s="37"/>
      <c r="R7" s="68"/>
      <c r="S7" s="60">
        <v>6</v>
      </c>
      <c r="T7" s="61">
        <f>1/SQRT(1+(2*PI()*S7*($N$13+$N$13)*($N$21+($N$12*$N$12)/(N$12+N$12)))^2)</f>
        <v>0.9934776980666253</v>
      </c>
      <c r="U7" s="43">
        <f t="shared" si="0"/>
        <v>-0.056837552770538036</v>
      </c>
      <c r="V7" s="60">
        <v>6</v>
      </c>
      <c r="W7" s="61">
        <f>1/SQRT(1+(2*PI()*V7*($N$13+$N$13)*($O$21+($N$12*$N$12)/(N$12+N$12)))^2)</f>
        <v>0.9657481963329321</v>
      </c>
      <c r="X7" s="43">
        <f t="shared" si="1"/>
        <v>-0.30272188573659253</v>
      </c>
    </row>
    <row r="8" spans="2:24" ht="12">
      <c r="B8" s="26"/>
      <c r="L8"/>
      <c r="Q8" s="36"/>
      <c r="R8" s="41"/>
      <c r="S8" s="60">
        <v>7</v>
      </c>
      <c r="T8" s="61">
        <f>1/SQRT(1+(2*PI()*S8*($N$13+$N$13)*($N$21+($N$12*$N$12)/(N$12+N$12)))^2)</f>
        <v>0.9911535958807265</v>
      </c>
      <c r="U8" s="43">
        <f t="shared" si="0"/>
        <v>-0.07718078164503406</v>
      </c>
      <c r="V8" s="60">
        <v>7</v>
      </c>
      <c r="W8" s="61">
        <f>1/SQRT(1+(2*PI()*V8*($N$13+$N$13)*($O$21+($N$12*$N$12)/(N$12+N$12)))^2)</f>
        <v>0.9542175538921999</v>
      </c>
      <c r="X8" s="43">
        <f t="shared" si="1"/>
        <v>-0.407051967480735</v>
      </c>
    </row>
    <row r="9" spans="2:24" ht="12.75" thickBot="1">
      <c r="B9" s="24"/>
      <c r="C9" s="4"/>
      <c r="E9" s="4"/>
      <c r="F9" s="4"/>
      <c r="G9" s="4"/>
      <c r="H9" s="40" t="s">
        <v>60</v>
      </c>
      <c r="I9" s="40" t="s">
        <v>60</v>
      </c>
      <c r="J9" s="40" t="s">
        <v>60</v>
      </c>
      <c r="K9" s="40" t="s">
        <v>60</v>
      </c>
      <c r="L9" s="22"/>
      <c r="Q9" s="36"/>
      <c r="R9" s="64"/>
      <c r="S9" s="60">
        <v>8</v>
      </c>
      <c r="T9" s="61">
        <f>1/SQRT(1+(2*PI()*S9*($N$13+$N$13)*($N$21+($N$12*$N$12)/(N$12+N$12)))^2)</f>
        <v>0.9884921008941285</v>
      </c>
      <c r="U9" s="43">
        <f t="shared" si="0"/>
        <v>-0.10053593624843872</v>
      </c>
      <c r="V9" s="60">
        <v>8</v>
      </c>
      <c r="W9" s="61">
        <f>1/SQRT(1+(2*PI()*V9*($N$13+$N$13)*($O$21+($N$12*$N$12)/(N$12+N$12)))^2)</f>
        <v>0.9414127309503979</v>
      </c>
      <c r="X9" s="43">
        <f t="shared" si="1"/>
        <v>-0.5243986584230623</v>
      </c>
    </row>
    <row r="10" spans="2:24" ht="12.75" thickBot="1">
      <c r="B10" s="24"/>
      <c r="C10" s="31" t="s">
        <v>58</v>
      </c>
      <c r="D10" s="22"/>
      <c r="E10" s="32" t="s">
        <v>11</v>
      </c>
      <c r="F10" s="40" t="s">
        <v>59</v>
      </c>
      <c r="H10" s="83" t="str">
        <f>"CM Error Calc: "&amp;F11&amp;F12</f>
        <v>CM Error Calc: Filter @400Hz</v>
      </c>
      <c r="I10" s="84"/>
      <c r="J10" s="84"/>
      <c r="K10" s="85"/>
      <c r="L10" s="22"/>
      <c r="Q10" s="36"/>
      <c r="R10" s="64"/>
      <c r="S10" s="60"/>
      <c r="T10" s="61"/>
      <c r="U10" s="43"/>
      <c r="V10" s="60"/>
      <c r="W10" s="61"/>
      <c r="X10" s="43"/>
    </row>
    <row r="11" spans="2:24" ht="12">
      <c r="B11" s="155" t="s">
        <v>18</v>
      </c>
      <c r="C11" s="157" t="s">
        <v>19</v>
      </c>
      <c r="D11" s="159" t="s">
        <v>30</v>
      </c>
      <c r="E11" s="89"/>
      <c r="F11" s="47" t="s">
        <v>20</v>
      </c>
      <c r="G11" s="45" t="s">
        <v>21</v>
      </c>
      <c r="H11" s="46" t="s">
        <v>34</v>
      </c>
      <c r="I11" s="39" t="s">
        <v>35</v>
      </c>
      <c r="J11" s="136" t="s">
        <v>36</v>
      </c>
      <c r="K11" s="137" t="s">
        <v>37</v>
      </c>
      <c r="L11" s="82" t="s">
        <v>74</v>
      </c>
      <c r="M11" s="25" t="s">
        <v>3</v>
      </c>
      <c r="N11" s="110">
        <f>FILTER!J11</f>
        <v>400</v>
      </c>
      <c r="O11" s="86" t="s">
        <v>22</v>
      </c>
      <c r="R11" s="41"/>
      <c r="S11" s="60">
        <v>9</v>
      </c>
      <c r="T11" s="61">
        <f>1/SQRT(1+(2*PI()*S11*($N$13+$N$13)*($N$21+($N$12*$N$12)/(N$12+N$12)))^2)</f>
        <v>0.9855015051883618</v>
      </c>
      <c r="U11" s="43">
        <f t="shared" si="0"/>
        <v>-0.12685416144011455</v>
      </c>
      <c r="V11" s="60">
        <v>9</v>
      </c>
      <c r="W11" s="61">
        <f>1/SQRT(1+(2*PI()*V11*($N$13+$N$13)*($O$21+($N$12*$N$12)/(N$12+N$12)))^2)</f>
        <v>0.9275057475532981</v>
      </c>
      <c r="X11" s="43">
        <f t="shared" si="1"/>
        <v>-0.6536678095047392</v>
      </c>
    </row>
    <row r="12" spans="2:24" ht="12" customHeight="1">
      <c r="B12" s="156"/>
      <c r="C12" s="158"/>
      <c r="D12" s="158"/>
      <c r="E12" s="117" t="s">
        <v>42</v>
      </c>
      <c r="F12" s="115" t="str">
        <f>FILTER!F12</f>
        <v>400Hz</v>
      </c>
      <c r="G12" s="116" t="str">
        <f>FILTER!G12</f>
        <v>400Hz</v>
      </c>
      <c r="H12" s="138">
        <v>0.001</v>
      </c>
      <c r="I12" s="139">
        <v>0.015</v>
      </c>
      <c r="J12" s="139">
        <v>0.035</v>
      </c>
      <c r="K12" s="140">
        <v>0.07</v>
      </c>
      <c r="L12" s="82" t="s">
        <v>74</v>
      </c>
      <c r="M12" s="27" t="s">
        <v>2</v>
      </c>
      <c r="N12" s="111">
        <f>FILTER!J12</f>
        <v>4.7E-08</v>
      </c>
      <c r="O12" s="73" t="s">
        <v>23</v>
      </c>
      <c r="R12" s="41"/>
      <c r="S12" s="60">
        <v>10</v>
      </c>
      <c r="T12" s="61">
        <f>1/SQRT(1+(2*PI()*S12*($N$13+$N$13)*($N$21+($N$12*$N$12)/(N$12+N$12)))^2)</f>
        <v>0.9821909839477838</v>
      </c>
      <c r="U12" s="43">
        <f t="shared" si="0"/>
        <v>-0.15608113611228086</v>
      </c>
      <c r="V12" s="60">
        <v>10</v>
      </c>
      <c r="W12" s="61">
        <f>1/SQRT(1+(2*PI()*V12*($N$13+$N$13)*($O$21+($N$12*$N$12)/(N$12+N$12)))^2)</f>
        <v>0.9126691112293772</v>
      </c>
      <c r="X12" s="43">
        <f t="shared" si="1"/>
        <v>-0.7937329534519248</v>
      </c>
    </row>
    <row r="13" spans="2:24" ht="12.75" thickBot="1">
      <c r="B13" s="104">
        <f>FILTER!B13</f>
        <v>10</v>
      </c>
      <c r="C13" s="105">
        <f>FILTER!C13</f>
        <v>106.27450980392157</v>
      </c>
      <c r="D13" s="106">
        <f>FILTER!D13</f>
        <v>40</v>
      </c>
      <c r="E13" s="130">
        <f>FILTER!E13</f>
        <v>0.4855953393399648</v>
      </c>
      <c r="F13" s="132">
        <f>FILTER!F13</f>
        <v>0.9996876464081226</v>
      </c>
      <c r="G13" s="133">
        <f>FILTER!G13</f>
        <v>0.485443661891523</v>
      </c>
      <c r="H13" s="97">
        <f aca="true" t="shared" si="2" ref="H13:K44">(1/SQRT(1+(2*PI()*$B13*$N$13*$N$12*(1-H$12))^2)-1/SQRT(1+(2*PI()*$B13*$N$13*$N$12*(1+H$12))^2))*1000</f>
        <v>0.001248829038624777</v>
      </c>
      <c r="I13" s="98">
        <f t="shared" si="2"/>
        <v>0.018732431653067927</v>
      </c>
      <c r="J13" s="98">
        <f t="shared" si="2"/>
        <v>0.043708966281474915</v>
      </c>
      <c r="K13" s="99">
        <f t="shared" si="2"/>
        <v>0.08741763188369056</v>
      </c>
      <c r="L13" s="82" t="s">
        <v>74</v>
      </c>
      <c r="M13" s="54" t="s">
        <v>61</v>
      </c>
      <c r="N13" s="112">
        <f>FILTER!J13</f>
        <v>8465.688462334858</v>
      </c>
      <c r="O13" s="78" t="s">
        <v>33</v>
      </c>
      <c r="R13" s="65"/>
      <c r="S13" s="60">
        <v>20</v>
      </c>
      <c r="T13" s="61">
        <f>1/SQRT(1+(2*PI()*S13*($N$13+$N$13)*($N$21+($N$12*$N$12)/(N$12+N$12)))^2)</f>
        <v>0.9339798378464126</v>
      </c>
      <c r="U13" s="43">
        <f t="shared" si="0"/>
        <v>-0.5932499787505616</v>
      </c>
      <c r="V13" s="62">
        <v>20</v>
      </c>
      <c r="W13" s="63">
        <f>1/SQRT(1+(2*PI()*V13*($N$13+$N$13)*($O$21+($N$12*$N$12)/(N$12+N$12)))^2)</f>
        <v>0.74491681210189</v>
      </c>
      <c r="X13" s="55">
        <f t="shared" si="1"/>
        <v>-2.5578444795930233</v>
      </c>
    </row>
    <row r="14" spans="2:24" ht="12">
      <c r="B14" s="104">
        <f>FILTER!B14</f>
        <v>30</v>
      </c>
      <c r="C14" s="105">
        <f>FILTER!C14</f>
        <v>106.27450980392157</v>
      </c>
      <c r="D14" s="106">
        <f>FILTER!D14</f>
        <v>40</v>
      </c>
      <c r="E14" s="130">
        <f>FILTER!E14</f>
        <v>0.4855953393399648</v>
      </c>
      <c r="F14" s="132">
        <f>FILTER!F14</f>
        <v>0.9971993098884564</v>
      </c>
      <c r="G14" s="133">
        <f>FILTER!G14</f>
        <v>0.4842353372748637</v>
      </c>
      <c r="H14" s="97">
        <f t="shared" si="2"/>
        <v>0.01115574109922246</v>
      </c>
      <c r="I14" s="98">
        <f t="shared" si="2"/>
        <v>0.16733580492578337</v>
      </c>
      <c r="J14" s="98">
        <f t="shared" si="2"/>
        <v>0.3904469660644949</v>
      </c>
      <c r="K14" s="99">
        <f t="shared" si="2"/>
        <v>0.7808700789907475</v>
      </c>
      <c r="L14" s="22"/>
      <c r="R14" s="1" t="s">
        <v>9</v>
      </c>
      <c r="S14" s="60">
        <v>30</v>
      </c>
      <c r="T14" s="61">
        <f>1/SQRT(1+(2*PI()*S14*($N$13+$N$13)*($N$21+($N$12*$N$12)/(N$12+N$12)))^2)</f>
        <v>0.8673272842429044</v>
      </c>
      <c r="U14" s="43">
        <f t="shared" si="0"/>
        <v>-1.2363398285695626</v>
      </c>
      <c r="V14" s="62">
        <v>30</v>
      </c>
      <c r="W14" s="63">
        <f>1/SQRT(1+(2*PI()*V14*($N$13+$N$13)*($O$21+($N$12*$N$12)/(N$12+N$12)))^2)</f>
        <v>0.5971051779443134</v>
      </c>
      <c r="X14" s="55">
        <f t="shared" si="1"/>
        <v>-4.478983254210908</v>
      </c>
    </row>
    <row r="15" spans="2:24" ht="12.75" thickBot="1">
      <c r="B15" s="104">
        <f>FILTER!B15</f>
        <v>60</v>
      </c>
      <c r="C15" s="105">
        <f>FILTER!C15</f>
        <v>106.27450980392157</v>
      </c>
      <c r="D15" s="106">
        <f>FILTER!D15</f>
        <v>40</v>
      </c>
      <c r="E15" s="130">
        <f>FILTER!E15</f>
        <v>0.4855953393399648</v>
      </c>
      <c r="F15" s="132">
        <f>FILTER!F15</f>
        <v>0.9889363528682975</v>
      </c>
      <c r="G15" s="133">
        <f>FILTER!G15</f>
        <v>0.4802228838567081</v>
      </c>
      <c r="H15" s="97">
        <f t="shared" si="2"/>
        <v>0.043522869891399196</v>
      </c>
      <c r="I15" s="98">
        <f t="shared" si="2"/>
        <v>0.6528383985359154</v>
      </c>
      <c r="J15" s="98">
        <f t="shared" si="2"/>
        <v>1.523241162310618</v>
      </c>
      <c r="K15" s="99">
        <f t="shared" si="2"/>
        <v>3.04612637544599</v>
      </c>
      <c r="L15" s="22"/>
      <c r="M15" s="96" t="s">
        <v>39</v>
      </c>
      <c r="N15" s="4"/>
      <c r="O15" s="4"/>
      <c r="R15">
        <f>10^(-3/20)</f>
        <v>0.7079457843841379</v>
      </c>
      <c r="S15" s="60">
        <v>40</v>
      </c>
      <c r="T15" s="61">
        <f>1/SQRT(1+(2*PI()*S15*($N$13+$N$13)*($N$21+($N$12*$N$12)/(N$12+N$12)))^2)</f>
        <v>0.7941807344318307</v>
      </c>
      <c r="U15" s="43">
        <f t="shared" si="0"/>
        <v>-2.001613048828012</v>
      </c>
      <c r="V15" s="60">
        <v>40</v>
      </c>
      <c r="W15" s="61">
        <f>1/SQRT(1+(2*PI()*V15*($N$13+$N$13)*($O$21+($N$12*$N$12)/(N$12+N$12)))^2)</f>
        <v>0.48745747125027544</v>
      </c>
      <c r="X15" s="43">
        <f t="shared" si="1"/>
        <v>-6.241265376007215</v>
      </c>
    </row>
    <row r="16" spans="2:24" ht="12">
      <c r="B16" s="104">
        <f>FILTER!B16</f>
        <v>100</v>
      </c>
      <c r="C16" s="105">
        <f>FILTER!C16</f>
        <v>106.27450980392157</v>
      </c>
      <c r="D16" s="106">
        <f>FILTER!D16</f>
        <v>40</v>
      </c>
      <c r="E16" s="130">
        <f>FILTER!E16</f>
        <v>0.4855953393399648</v>
      </c>
      <c r="F16" s="132">
        <f>FILTER!F16</f>
        <v>0.9701425001453319</v>
      </c>
      <c r="G16" s="133">
        <f>FILTER!G16</f>
        <v>0.47109667656619425</v>
      </c>
      <c r="H16" s="97">
        <f t="shared" si="2"/>
        <v>0.11413440269858466</v>
      </c>
      <c r="I16" s="98">
        <f t="shared" si="2"/>
        <v>1.7119855207980983</v>
      </c>
      <c r="J16" s="98">
        <f t="shared" si="2"/>
        <v>3.9943149920181886</v>
      </c>
      <c r="K16" s="99">
        <f t="shared" si="2"/>
        <v>7.986294152501627</v>
      </c>
      <c r="L16" s="22"/>
      <c r="M16" s="69"/>
      <c r="N16" s="70" t="s">
        <v>67</v>
      </c>
      <c r="O16" s="70" t="s">
        <v>68</v>
      </c>
      <c r="P16" s="71"/>
      <c r="Q16" s="36"/>
      <c r="R16"/>
      <c r="S16" s="62">
        <v>50</v>
      </c>
      <c r="T16" s="63">
        <f>1/SQRT(1+(2*PI()*S16*($N$13+$N$13)*($N$21+($N$12*$N$12)/(N$12+N$12)))^2)</f>
        <v>0.7226641749876783</v>
      </c>
      <c r="U16" s="55">
        <f t="shared" si="0"/>
        <v>-2.821269485155769</v>
      </c>
      <c r="V16" s="60">
        <v>50</v>
      </c>
      <c r="W16" s="61">
        <f>1/SQRT(1+(2*PI()*V16*($N$13+$N$13)*($O$21+($N$12*$N$12)/(N$12+N$12)))^2)</f>
        <v>0.4077976095062751</v>
      </c>
      <c r="X16" s="43">
        <f t="shared" si="1"/>
        <v>-7.791106487355547</v>
      </c>
    </row>
    <row r="17" spans="2:24" ht="10.5">
      <c r="B17" s="104">
        <f>FILTER!B17</f>
        <v>200</v>
      </c>
      <c r="C17" s="105">
        <f>FILTER!C17</f>
        <v>106.27450980392157</v>
      </c>
      <c r="D17" s="106">
        <f>FILTER!D17</f>
        <v>40</v>
      </c>
      <c r="E17" s="130">
        <f>FILTER!E17</f>
        <v>0.4855953393399648</v>
      </c>
      <c r="F17" s="132">
        <f>FILTER!F17</f>
        <v>0.8944271909999159</v>
      </c>
      <c r="G17" s="133">
        <f>FILTER!G17</f>
        <v>0.43432967532849565</v>
      </c>
      <c r="H17" s="97">
        <f t="shared" si="2"/>
        <v>0.35777080484589163</v>
      </c>
      <c r="I17" s="98">
        <f t="shared" si="2"/>
        <v>5.366321655439599</v>
      </c>
      <c r="J17" s="98">
        <f t="shared" si="2"/>
        <v>12.518913119494378</v>
      </c>
      <c r="K17" s="99">
        <f t="shared" si="2"/>
        <v>25.019428854308636</v>
      </c>
      <c r="L17" s="22"/>
      <c r="M17" s="72" t="s">
        <v>62</v>
      </c>
      <c r="N17" s="118">
        <v>11.521</v>
      </c>
      <c r="O17" s="118">
        <v>26.887</v>
      </c>
      <c r="P17" s="73" t="s">
        <v>63</v>
      </c>
      <c r="Q17" s="36"/>
      <c r="S17" s="62">
        <v>60</v>
      </c>
      <c r="T17" s="63">
        <f>1/SQRT(1+(2*PI()*S17*($N$13+$N$13)*($N$21+($N$12*$N$12)/(N$12+N$12)))^2)</f>
        <v>0.6569096546150028</v>
      </c>
      <c r="U17" s="55">
        <f t="shared" si="0"/>
        <v>-3.649887105004141</v>
      </c>
      <c r="V17" s="60">
        <v>60</v>
      </c>
      <c r="W17" s="61">
        <f>1/SQRT(1+(2*PI()*V17*($N$13+$N$13)*($O$21+($N$12*$N$12)/(N$12+N$12)))^2)</f>
        <v>0.3488089859444035</v>
      </c>
      <c r="X17" s="43">
        <f t="shared" si="1"/>
        <v>-9.148246707828374</v>
      </c>
    </row>
    <row r="18" spans="2:24" ht="10.5">
      <c r="B18" s="104">
        <f>FILTER!B18</f>
        <v>300</v>
      </c>
      <c r="C18" s="105">
        <f>FILTER!C18</f>
        <v>106.19607843137256</v>
      </c>
      <c r="D18" s="106">
        <f>FILTER!D18</f>
        <v>40</v>
      </c>
      <c r="E18" s="130">
        <f>FILTER!E18</f>
        <v>0.4899999981979984</v>
      </c>
      <c r="F18" s="132">
        <f>FILTER!F18</f>
        <v>0.8</v>
      </c>
      <c r="G18" s="133">
        <f>FILTER!G18</f>
        <v>0.39199999855839873</v>
      </c>
      <c r="H18" s="97">
        <f t="shared" si="2"/>
        <v>0.5759998755838769</v>
      </c>
      <c r="I18" s="98">
        <f t="shared" si="2"/>
        <v>8.639580081581055</v>
      </c>
      <c r="J18" s="98">
        <f t="shared" si="2"/>
        <v>20.15466466749394</v>
      </c>
      <c r="K18" s="99">
        <f t="shared" si="2"/>
        <v>40.277293513029</v>
      </c>
      <c r="L18" s="22"/>
      <c r="M18" s="72" t="s">
        <v>69</v>
      </c>
      <c r="N18" s="119">
        <v>600</v>
      </c>
      <c r="O18" s="119">
        <v>600</v>
      </c>
      <c r="P18" s="73" t="s">
        <v>70</v>
      </c>
      <c r="Q18" s="36"/>
      <c r="S18" s="60">
        <v>70</v>
      </c>
      <c r="T18" s="61">
        <f>1/SQRT(1+(2*PI()*S18*($N$13+$N$13)*($N$21+($N$12*$N$12)/(N$12+N$12)))^2)</f>
        <v>0.598358601851962</v>
      </c>
      <c r="U18" s="43">
        <f t="shared" si="0"/>
        <v>-4.460769225638891</v>
      </c>
      <c r="V18" s="60">
        <v>70</v>
      </c>
      <c r="W18" s="61">
        <f>1/SQRT(1+(2*PI()*V18*($N$13+$N$13)*($O$21+($N$12*$N$12)/(N$12+N$12)))^2)</f>
        <v>0.3039245864276528</v>
      </c>
      <c r="X18" s="43">
        <f t="shared" si="1"/>
        <v>-10.344683312125953</v>
      </c>
    </row>
    <row r="19" spans="2:24" ht="12">
      <c r="B19" s="104">
        <f>FILTER!B19</f>
        <v>400</v>
      </c>
      <c r="C19" s="105">
        <f>FILTER!C19</f>
        <v>105.49019607843137</v>
      </c>
      <c r="D19" s="106">
        <f>FILTER!D19</f>
        <v>40</v>
      </c>
      <c r="E19" s="130">
        <f>FILTER!E19</f>
        <v>0.5314840014580976</v>
      </c>
      <c r="F19" s="132">
        <f>FILTER!F19</f>
        <v>0.7071067811865476</v>
      </c>
      <c r="G19" s="133">
        <f>FILTER!G19</f>
        <v>0.37581594152318176</v>
      </c>
      <c r="H19" s="97">
        <f t="shared" si="2"/>
        <v>0.707106692798054</v>
      </c>
      <c r="I19" s="98">
        <f t="shared" si="2"/>
        <v>10.606303335812694</v>
      </c>
      <c r="J19" s="98">
        <f t="shared" si="2"/>
        <v>24.7449427596802</v>
      </c>
      <c r="K19" s="99">
        <f t="shared" si="2"/>
        <v>49.46699977239244</v>
      </c>
      <c r="L19" s="22"/>
      <c r="M19" s="72" t="s">
        <v>64</v>
      </c>
      <c r="N19" s="120">
        <v>1</v>
      </c>
      <c r="O19" s="120">
        <v>1</v>
      </c>
      <c r="P19" s="73" t="s">
        <v>63</v>
      </c>
      <c r="Q19" s="36"/>
      <c r="R19"/>
      <c r="S19" s="60">
        <v>80</v>
      </c>
      <c r="T19" s="61">
        <f>1/SQRT(1+(2*PI()*S19*($N$13+$N$13)*($N$21+($N$12*$N$12)/(N$12+N$12)))^2)</f>
        <v>0.5470178092537279</v>
      </c>
      <c r="U19" s="43">
        <f t="shared" si="0"/>
        <v>-5.2399706822997905</v>
      </c>
      <c r="V19" s="60">
        <v>80</v>
      </c>
      <c r="W19" s="61">
        <f>1/SQRT(1+(2*PI()*V19*($N$13+$N$13)*($O$21+($N$12*$N$12)/(N$12+N$12)))^2)</f>
        <v>0.26886024953005666</v>
      </c>
      <c r="X19" s="43">
        <f t="shared" si="1"/>
        <v>-11.409468052660594</v>
      </c>
    </row>
    <row r="20" spans="2:24" ht="12">
      <c r="B20" s="104">
        <f>FILTER!B20</f>
        <v>500</v>
      </c>
      <c r="C20" s="105">
        <f>FILTER!C20</f>
        <v>103.92156862745098</v>
      </c>
      <c r="D20" s="106">
        <f>FILTER!D20</f>
        <v>40</v>
      </c>
      <c r="E20" s="130">
        <f>FILTER!E20</f>
        <v>0.6366805292623683</v>
      </c>
      <c r="F20" s="132">
        <f>FILTER!F20</f>
        <v>0.6246950475544243</v>
      </c>
      <c r="G20" s="133">
        <f>FILTER!G20</f>
        <v>0.3977311735045312</v>
      </c>
      <c r="H20" s="97">
        <f t="shared" si="2"/>
        <v>0.7618232400545821</v>
      </c>
      <c r="I20" s="98">
        <f t="shared" si="2"/>
        <v>11.42738655479858</v>
      </c>
      <c r="J20" s="98">
        <f t="shared" si="2"/>
        <v>26.664290852333128</v>
      </c>
      <c r="K20" s="99">
        <f t="shared" si="2"/>
        <v>53.33125841431696</v>
      </c>
      <c r="L20" s="22"/>
      <c r="M20" s="72" t="s">
        <v>65</v>
      </c>
      <c r="N20" s="58">
        <f>N19/N17</f>
        <v>0.08679802100512107</v>
      </c>
      <c r="O20" s="58">
        <f>O19/O17</f>
        <v>0.03719269535463235</v>
      </c>
      <c r="P20" s="74"/>
      <c r="Q20" s="57" t="s">
        <v>66</v>
      </c>
      <c r="R20"/>
      <c r="S20" s="60">
        <v>90</v>
      </c>
      <c r="T20" s="61">
        <f>1/SQRT(1+(2*PI()*S20*($N$13+$N$13)*($N$21+($N$12*$N$12)/(N$12+N$12)))^2)</f>
        <v>0.5022651488371852</v>
      </c>
      <c r="U20" s="43">
        <f t="shared" si="0"/>
        <v>-5.9813391122142665</v>
      </c>
      <c r="V20" s="60">
        <v>90</v>
      </c>
      <c r="W20" s="61">
        <f>1/SQRT(1+(2*PI()*V20*($N$13+$N$13)*($O$21+($N$12*$N$12)/(N$12+N$12)))^2)</f>
        <v>0.24082062702761556</v>
      </c>
      <c r="X20" s="43">
        <f t="shared" si="1"/>
        <v>-12.36612634325007</v>
      </c>
    </row>
    <row r="21" spans="2:24" ht="12">
      <c r="B21" s="103">
        <f>FILTER!B21</f>
        <v>600</v>
      </c>
      <c r="C21" s="105">
        <f>FILTER!C21</f>
        <v>102.3529411764706</v>
      </c>
      <c r="D21" s="106">
        <f>FILTER!D21</f>
        <v>40</v>
      </c>
      <c r="E21" s="130">
        <f>FILTER!E21</f>
        <v>0.762698585902343</v>
      </c>
      <c r="F21" s="132">
        <f>FILTER!F21</f>
        <v>0.5547001962252291</v>
      </c>
      <c r="G21" s="133">
        <f>FILTER!G21</f>
        <v>0.4230690552607344</v>
      </c>
      <c r="H21" s="97">
        <f t="shared" si="2"/>
        <v>0.7680465482481358</v>
      </c>
      <c r="I21" s="55">
        <f t="shared" si="2"/>
        <v>11.521110400531388</v>
      </c>
      <c r="J21" s="55">
        <f t="shared" si="2"/>
        <v>26.886877997660875</v>
      </c>
      <c r="K21" s="99">
        <f t="shared" si="2"/>
        <v>53.80508433871722</v>
      </c>
      <c r="L21" s="22"/>
      <c r="M21" s="75" t="s">
        <v>5</v>
      </c>
      <c r="N21" s="59">
        <f>SQRT(1-N20^2)/(N20*2*PI()*N18*(N13+N13))-N12*N12/(N12+N12)</f>
        <v>1.563144633810084E-07</v>
      </c>
      <c r="O21" s="59">
        <f>SQRT(1-O20^2)/(O20*2*PI()*O18*(N13+N13))-N12*N12/(N12+N12)</f>
        <v>3.9743822306327405E-07</v>
      </c>
      <c r="P21" s="74"/>
      <c r="Q21" s="57" t="s">
        <v>71</v>
      </c>
      <c r="R21"/>
      <c r="S21" s="60">
        <v>100</v>
      </c>
      <c r="T21" s="61">
        <f>1/SQRT(1+(2*PI()*S21*($N$13+$N$13)*($N$21+($N$12*$N$12)/(N$12+N$12)))^2)</f>
        <v>0.4632777280747775</v>
      </c>
      <c r="U21" s="43">
        <f t="shared" si="0"/>
        <v>-6.683171557202801</v>
      </c>
      <c r="V21" s="60">
        <v>100</v>
      </c>
      <c r="W21" s="61">
        <f>1/SQRT(1+(2*PI()*V21*($N$13+$N$13)*($O$21+($N$12*$N$12)/(N$12+N$12)))^2)</f>
        <v>0.21794264205984412</v>
      </c>
      <c r="X21" s="43">
        <f t="shared" si="1"/>
        <v>-13.233155771443858</v>
      </c>
    </row>
    <row r="22" spans="2:24" ht="12" thickBot="1">
      <c r="B22" s="104">
        <f>FILTER!B22</f>
        <v>700</v>
      </c>
      <c r="C22" s="105">
        <f>FILTER!C22</f>
        <v>101.17647058823529</v>
      </c>
      <c r="D22" s="106">
        <f>FILTER!D22</f>
        <v>40</v>
      </c>
      <c r="E22" s="130">
        <f>FILTER!E22</f>
        <v>0.8733261623828431</v>
      </c>
      <c r="F22" s="132">
        <f>FILTER!F22</f>
        <v>0.49613893835683387</v>
      </c>
      <c r="G22" s="133">
        <f>FILTER!G22</f>
        <v>0.4332911150438717</v>
      </c>
      <c r="H22" s="97">
        <f t="shared" si="2"/>
        <v>0.7480250777899267</v>
      </c>
      <c r="I22" s="98">
        <f t="shared" si="2"/>
        <v>11.221104814148507</v>
      </c>
      <c r="J22" s="98">
        <f t="shared" si="2"/>
        <v>26.190163487891326</v>
      </c>
      <c r="K22" s="99">
        <f t="shared" si="2"/>
        <v>52.43595416724889</v>
      </c>
      <c r="L22" s="22"/>
      <c r="M22" s="76" t="s">
        <v>8</v>
      </c>
      <c r="N22" s="77">
        <f>1/(2*PI()*($N$13+$N$13)*($N$21+$N$12*$N$12/($N$12+$N$12)))*(SQRT((1/$R$15^2)-1))</f>
        <v>52.15212540591269</v>
      </c>
      <c r="O22" s="77">
        <f>1/(2*PI()*($N$13+$N$13)*($O$21+$N$12*$N$12/($N$12+$N$12)))*(SQRT((1/$R$15^2)-1))</f>
        <v>22.27810621663032</v>
      </c>
      <c r="P22" s="78" t="s">
        <v>72</v>
      </c>
      <c r="Q22" s="57" t="s">
        <v>73</v>
      </c>
      <c r="S22" s="60">
        <v>200</v>
      </c>
      <c r="T22" s="61">
        <f>1/SQRT(1+(2*PI()*S22*($N$13+$N$13)*($N$21+($N$12*$N$12)/(N$12+N$12)))^2)</f>
        <v>0.2528847273449342</v>
      </c>
      <c r="U22" s="43">
        <f t="shared" si="0"/>
        <v>-11.941547970652891</v>
      </c>
      <c r="V22" s="60">
        <v>200</v>
      </c>
      <c r="W22" s="61">
        <f>1/SQRT(1+(2*PI()*V22*($N$13+$N$13)*($O$21+($N$12*$N$12)/(N$12+N$12)))^2)</f>
        <v>0.11096578105673158</v>
      </c>
      <c r="X22" s="43">
        <f t="shared" si="1"/>
        <v>-19.09621851244513</v>
      </c>
    </row>
    <row r="23" spans="2:24" ht="12">
      <c r="B23" s="104">
        <f>FILTER!B23</f>
        <v>800</v>
      </c>
      <c r="C23" s="105">
        <f>FILTER!C23</f>
        <v>100</v>
      </c>
      <c r="D23" s="106">
        <f>FILTER!D23</f>
        <v>40</v>
      </c>
      <c r="E23" s="130">
        <f>FILTER!E23</f>
        <v>1</v>
      </c>
      <c r="F23" s="132">
        <f>FILTER!F23</f>
        <v>0.447213595499958</v>
      </c>
      <c r="G23" s="133">
        <f>FILTER!G23</f>
        <v>0.447213595499958</v>
      </c>
      <c r="H23" s="97">
        <f t="shared" si="2"/>
        <v>0.7155420390165812</v>
      </c>
      <c r="I23" s="98">
        <f t="shared" si="2"/>
        <v>10.734092243779303</v>
      </c>
      <c r="J23" s="98">
        <f t="shared" si="2"/>
        <v>25.056230834486605</v>
      </c>
      <c r="K23" s="99">
        <f t="shared" si="2"/>
        <v>50.18602830199775</v>
      </c>
      <c r="L23" s="22"/>
      <c r="P23"/>
      <c r="R23"/>
      <c r="S23" s="60">
        <v>300</v>
      </c>
      <c r="T23" s="61">
        <f>1/SQRT(1+(2*PI()*S23*($N$13+$N$13)*($N$21+($N$12*$N$12)/(N$12+N$12)))^2)</f>
        <v>0.17166690058866851</v>
      </c>
      <c r="U23" s="43">
        <f t="shared" si="0"/>
        <v>-15.306268677728802</v>
      </c>
      <c r="V23" s="60">
        <v>300</v>
      </c>
      <c r="W23" s="61">
        <f>1/SQRT(1+(2*PI()*V23*($N$13+$N$13)*($O$21+($N$12*$N$12)/(N$12+N$12)))^2)</f>
        <v>0.07423152385613302</v>
      </c>
      <c r="X23" s="43">
        <f t="shared" si="1"/>
        <v>-22.58823247949814</v>
      </c>
    </row>
    <row r="24" spans="2:24" ht="12">
      <c r="B24" s="104">
        <f>FILTER!B24</f>
        <v>900</v>
      </c>
      <c r="C24" s="105">
        <f>FILTER!C24</f>
        <v>98.98039215686275</v>
      </c>
      <c r="D24" s="106">
        <f>FILTER!D24</f>
        <v>40</v>
      </c>
      <c r="E24" s="130">
        <f>FILTER!E24</f>
        <v>1.1245542006298046</v>
      </c>
      <c r="F24" s="132">
        <f>FILTER!F24</f>
        <v>0.40613846605344767</v>
      </c>
      <c r="G24" s="133">
        <f>FILTER!G24</f>
        <v>0.4567247180377499</v>
      </c>
      <c r="H24" s="97">
        <f t="shared" si="2"/>
        <v>0.6782934410929364</v>
      </c>
      <c r="I24" s="98">
        <f t="shared" si="2"/>
        <v>10.175519975800906</v>
      </c>
      <c r="J24" s="98">
        <f t="shared" si="2"/>
        <v>23.754530720532685</v>
      </c>
      <c r="K24" s="99">
        <f t="shared" si="2"/>
        <v>47.594727545265336</v>
      </c>
      <c r="L24" s="22"/>
      <c r="P24"/>
      <c r="R24"/>
      <c r="S24" s="60">
        <v>400</v>
      </c>
      <c r="T24" s="61">
        <f>1/SQRT(1+(2*PI()*S24*($N$13+$N$13)*($N$21+($N$12*$N$12)/(N$12+N$12)))^2)</f>
        <v>0.12958827099569928</v>
      </c>
      <c r="U24" s="43">
        <f t="shared" si="0"/>
        <v>-17.748686091586332</v>
      </c>
      <c r="V24" s="60">
        <v>400</v>
      </c>
      <c r="W24" s="61">
        <f>1/SQRT(1+(2*PI()*V24*($N$13+$N$13)*($O$21+($N$12*$N$12)/(N$12+N$12)))^2)</f>
        <v>0.05574087249692085</v>
      </c>
      <c r="X24" s="43">
        <f t="shared" si="1"/>
        <v>-25.07652475349031</v>
      </c>
    </row>
    <row r="25" spans="2:24" ht="12">
      <c r="B25" s="104">
        <f>FILTER!B25</f>
        <v>1000</v>
      </c>
      <c r="C25" s="105">
        <f>FILTER!C25</f>
        <v>98.0392156862745</v>
      </c>
      <c r="D25" s="106">
        <f>FILTER!D25</f>
        <v>40</v>
      </c>
      <c r="E25" s="130">
        <f>FILTER!E25</f>
        <v>1.2532543355087813</v>
      </c>
      <c r="F25" s="132">
        <f>FILTER!F25</f>
        <v>0.3713906763541037</v>
      </c>
      <c r="G25" s="133">
        <f>FILTER!G25</f>
        <v>0.46544697530831913</v>
      </c>
      <c r="H25" s="97">
        <f t="shared" si="2"/>
        <v>0.6403291139947531</v>
      </c>
      <c r="I25" s="98">
        <f t="shared" si="2"/>
        <v>9.606151954495434</v>
      </c>
      <c r="J25" s="98">
        <f t="shared" si="2"/>
        <v>22.42701710961009</v>
      </c>
      <c r="K25" s="99">
        <f t="shared" si="2"/>
        <v>44.94720871828095</v>
      </c>
      <c r="L25" s="22"/>
      <c r="P25"/>
      <c r="R25"/>
      <c r="S25" s="60">
        <v>500</v>
      </c>
      <c r="T25" s="61">
        <f>1/SQRT(1+(2*PI()*S25*($N$13+$N$13)*($N$21+($N$12*$N$12)/(N$12+N$12)))^2)</f>
        <v>0.10398541642328385</v>
      </c>
      <c r="U25" s="43">
        <f t="shared" si="0"/>
        <v>-19.6605512930635</v>
      </c>
      <c r="V25" s="60">
        <v>500</v>
      </c>
      <c r="W25" s="61">
        <f>1/SQRT(1+(2*PI()*V25*($N$13+$N$13)*($O$21+($N$12*$N$12)/(N$12+N$12)))^2)</f>
        <v>0.04461765821107859</v>
      </c>
      <c r="X25" s="43">
        <f t="shared" si="1"/>
        <v>-27.00986455405821</v>
      </c>
    </row>
    <row r="26" spans="2:24" ht="12">
      <c r="B26" s="104">
        <f>FILTER!B26</f>
        <v>2000</v>
      </c>
      <c r="C26" s="105">
        <f>FILTER!C26</f>
        <v>92.15686274509804</v>
      </c>
      <c r="D26" s="106">
        <f>FILTER!D26</f>
        <v>40</v>
      </c>
      <c r="E26" s="130">
        <f>FILTER!E26</f>
        <v>2.4669302064117415</v>
      </c>
      <c r="F26" s="132">
        <f>FILTER!F26</f>
        <v>0.19611613513818404</v>
      </c>
      <c r="G26" s="133">
        <f>FILTER!G26</f>
        <v>0.48380481773711337</v>
      </c>
      <c r="H26" s="97">
        <f t="shared" si="2"/>
        <v>0.37714674149894045</v>
      </c>
      <c r="I26" s="98">
        <f t="shared" si="2"/>
        <v>5.6583026312568565</v>
      </c>
      <c r="J26" s="98">
        <f t="shared" si="2"/>
        <v>13.214191290701894</v>
      </c>
      <c r="K26" s="99">
        <f t="shared" si="2"/>
        <v>26.5131111494627</v>
      </c>
      <c r="L26" s="22"/>
      <c r="P26"/>
      <c r="R26"/>
      <c r="S26" s="60">
        <v>600</v>
      </c>
      <c r="T26" s="61">
        <f>1/SQRT(1+(2*PI()*S26*($N$13+$N$13)*($N$21+($N$12*$N$12)/(N$12+N$12)))^2)</f>
        <v>0.08679802100512107</v>
      </c>
      <c r="U26" s="43">
        <f t="shared" si="0"/>
        <v>-21.22980353249631</v>
      </c>
      <c r="V26" s="60">
        <v>600</v>
      </c>
      <c r="W26" s="61">
        <f>1/SQRT(1+(2*PI()*V26*($N$13+$N$13)*($O$21+($N$12*$N$12)/(N$12+N$12)))^2)</f>
        <v>0.03719269535463235</v>
      </c>
      <c r="X26" s="43">
        <f t="shared" si="1"/>
        <v>-28.590846943588662</v>
      </c>
    </row>
    <row r="27" spans="2:24" ht="12">
      <c r="B27" s="104">
        <f>FILTER!B27</f>
        <v>3000</v>
      </c>
      <c r="C27" s="105">
        <f>FILTER!C27</f>
        <v>88.62745098039215</v>
      </c>
      <c r="D27" s="106">
        <f>FILTER!D27</f>
        <v>40</v>
      </c>
      <c r="E27" s="130">
        <f>FILTER!E27</f>
        <v>3.7036287863536055</v>
      </c>
      <c r="F27" s="132">
        <f>FILTER!F27</f>
        <v>0.13216372009101796</v>
      </c>
      <c r="G27" s="133">
        <f>FILTER!G27</f>
        <v>0.48948535824067446</v>
      </c>
      <c r="H27" s="97">
        <f t="shared" si="2"/>
        <v>0.2597106110222569</v>
      </c>
      <c r="I27" s="98">
        <f t="shared" si="2"/>
        <v>3.8964792770044</v>
      </c>
      <c r="J27" s="98">
        <f t="shared" si="2"/>
        <v>9.100337274698806</v>
      </c>
      <c r="K27" s="99">
        <f t="shared" si="2"/>
        <v>18.263800762672965</v>
      </c>
      <c r="L27" s="22"/>
      <c r="P27"/>
      <c r="R27"/>
      <c r="S27" s="60">
        <v>700</v>
      </c>
      <c r="T27" s="61">
        <f>1/SQRT(1+(2*PI()*S27*($N$13+$N$13)*($N$21+($N$12*$N$12)/(N$12+N$12)))^2)</f>
        <v>0.07447276861711602</v>
      </c>
      <c r="U27" s="43">
        <f t="shared" si="0"/>
        <v>-22.56005000845947</v>
      </c>
      <c r="V27" s="60">
        <v>700</v>
      </c>
      <c r="W27" s="61">
        <f>1/SQRT(1+(2*PI()*V27*($N$13+$N$13)*($O$21+($N$12*$N$12)/(N$12+N$12)))^2)</f>
        <v>0.031885304604454455</v>
      </c>
      <c r="X27" s="43">
        <f t="shared" si="1"/>
        <v>-29.928188595706796</v>
      </c>
    </row>
    <row r="28" spans="2:24" ht="12">
      <c r="B28" s="104">
        <f>FILTER!B28</f>
        <v>4000</v>
      </c>
      <c r="C28" s="105">
        <f>FILTER!C28</f>
        <v>86.11764705882354</v>
      </c>
      <c r="D28" s="106">
        <f>FILTER!D28</f>
        <v>40</v>
      </c>
      <c r="E28" s="130">
        <f>FILTER!E28</f>
        <v>4.9444461011588245</v>
      </c>
      <c r="F28" s="132">
        <f>FILTER!F28</f>
        <v>0.09950371902099893</v>
      </c>
      <c r="G28" s="133">
        <f>FILTER!G28</f>
        <v>0.4919907755641813</v>
      </c>
      <c r="H28" s="97">
        <f t="shared" si="2"/>
        <v>0.1970372576258067</v>
      </c>
      <c r="I28" s="98">
        <f t="shared" si="2"/>
        <v>2.9561982656960972</v>
      </c>
      <c r="J28" s="98">
        <f t="shared" si="2"/>
        <v>6.90446410157855</v>
      </c>
      <c r="K28" s="99">
        <f t="shared" si="2"/>
        <v>13.858156745416252</v>
      </c>
      <c r="L28" s="22"/>
      <c r="Q28" s="22"/>
      <c r="R28"/>
      <c r="S28" s="60">
        <v>800</v>
      </c>
      <c r="T28" s="61">
        <f>1/SQRT(1+(2*PI()*S28*($N$13+$N$13)*($N$21+($N$12*$N$12)/(N$12+N$12)))^2)</f>
        <v>0.06520606664726881</v>
      </c>
      <c r="U28" s="43">
        <f t="shared" si="0"/>
        <v>-23.714239929268203</v>
      </c>
      <c r="V28" s="60">
        <v>800</v>
      </c>
      <c r="W28" s="61">
        <f>1/SQRT(1+(2*PI()*V28*($N$13+$N$13)*($O$21+($N$12*$N$12)/(N$12+N$12)))^2)</f>
        <v>0.027902966123344888</v>
      </c>
      <c r="X28" s="43">
        <f t="shared" si="1"/>
        <v>-31.086992563537557</v>
      </c>
    </row>
    <row r="29" spans="2:24" ht="12">
      <c r="B29" s="104">
        <f>FILTER!B29</f>
        <v>5000</v>
      </c>
      <c r="C29" s="105">
        <f>FILTER!C29</f>
        <v>84.15686274509804</v>
      </c>
      <c r="D29" s="106">
        <f>FILTER!D29</f>
        <v>40</v>
      </c>
      <c r="E29" s="130">
        <f>FILTER!E29</f>
        <v>6.19664851296678</v>
      </c>
      <c r="F29" s="132">
        <f>FILTER!F29</f>
        <v>0.07974522228289002</v>
      </c>
      <c r="G29" s="133">
        <f>FILTER!G29</f>
        <v>0.49415311307547577</v>
      </c>
      <c r="H29" s="97">
        <f t="shared" si="2"/>
        <v>0.15847635187064835</v>
      </c>
      <c r="I29" s="98">
        <f t="shared" si="2"/>
        <v>2.3776660738024926</v>
      </c>
      <c r="J29" s="98">
        <f t="shared" si="2"/>
        <v>5.553318876845125</v>
      </c>
      <c r="K29" s="99">
        <f t="shared" si="2"/>
        <v>11.146739282665491</v>
      </c>
      <c r="L29" s="42"/>
      <c r="Q29" s="22"/>
      <c r="R29"/>
      <c r="S29" s="60">
        <v>900</v>
      </c>
      <c r="T29" s="61">
        <f>1/SQRT(1+(2*PI()*S29*($N$13+$N$13)*($N$21+($N$12*$N$12)/(N$12+N$12)))^2)</f>
        <v>0.057986826456580126</v>
      </c>
      <c r="U29" s="43">
        <f t="shared" si="0"/>
        <v>-24.733413179444945</v>
      </c>
      <c r="V29" s="60">
        <v>900</v>
      </c>
      <c r="W29" s="61">
        <f>1/SQRT(1+(2*PI()*V29*($N$13+$N$13)*($O$21+($N$12*$N$12)/(N$12+N$12)))^2)</f>
        <v>0.024804663236634328</v>
      </c>
      <c r="X29" s="43">
        <f t="shared" si="1"/>
        <v>-32.109333296735905</v>
      </c>
    </row>
    <row r="30" spans="2:24" ht="12">
      <c r="B30" s="104">
        <f>FILTER!B30</f>
        <v>6000</v>
      </c>
      <c r="C30" s="105">
        <f>FILTER!C30</f>
        <v>82.52549019607844</v>
      </c>
      <c r="D30" s="106">
        <f>FILTER!D30</f>
        <v>40</v>
      </c>
      <c r="E30" s="130">
        <f>FILTER!E30</f>
        <v>7.476967453262772</v>
      </c>
      <c r="F30" s="132">
        <f>FILTER!F30</f>
        <v>0.06651901052377394</v>
      </c>
      <c r="G30" s="133">
        <f>FILTER!G30</f>
        <v>0.4973604767095016</v>
      </c>
      <c r="H30" s="97">
        <f t="shared" si="2"/>
        <v>0.13244948764236375</v>
      </c>
      <c r="I30" s="98">
        <f t="shared" si="2"/>
        <v>1.9871805708407826</v>
      </c>
      <c r="J30" s="98">
        <f t="shared" si="2"/>
        <v>4.64132529245452</v>
      </c>
      <c r="K30" s="99">
        <f t="shared" si="2"/>
        <v>9.316398655472305</v>
      </c>
      <c r="L30" s="42"/>
      <c r="Q30" s="22"/>
      <c r="R30"/>
      <c r="S30" s="60">
        <v>1000</v>
      </c>
      <c r="T30" s="61">
        <f>1/SQRT(1+(2*PI()*S30*($N$13+$N$13)*($N$21+($N$12*$N$12)/(N$12+N$12)))^2)</f>
        <v>0.05220482251456523</v>
      </c>
      <c r="U30" s="43">
        <f t="shared" si="0"/>
        <v>-25.645787528182726</v>
      </c>
      <c r="V30" s="60">
        <v>1000</v>
      </c>
      <c r="W30" s="61">
        <f>1/SQRT(1+(2*PI()*V30*($N$13+$N$13)*($O$21+($N$12*$N$12)/(N$12+N$12)))^2)</f>
        <v>0.02232550189400384</v>
      </c>
      <c r="X30" s="43">
        <f t="shared" si="1"/>
        <v>-33.02397538128885</v>
      </c>
    </row>
    <row r="31" spans="2:24" ht="12">
      <c r="B31" s="104">
        <f>FILTER!B31</f>
        <v>7000</v>
      </c>
      <c r="C31" s="105">
        <f>FILTER!C31</f>
        <v>81.17647058823529</v>
      </c>
      <c r="D31" s="106">
        <f>FILTER!D31</f>
        <v>40</v>
      </c>
      <c r="E31" s="130">
        <f>FILTER!E31</f>
        <v>8.733261623828433</v>
      </c>
      <c r="F31" s="132">
        <f>FILTER!F31</f>
        <v>0.05704979053851296</v>
      </c>
      <c r="G31" s="133">
        <f>FILTER!G31</f>
        <v>0.4982307463574457</v>
      </c>
      <c r="H31" s="97">
        <f t="shared" si="2"/>
        <v>0.11372833604798155</v>
      </c>
      <c r="I31" s="98">
        <f t="shared" si="2"/>
        <v>1.7063029085910355</v>
      </c>
      <c r="J31" s="98">
        <f t="shared" si="2"/>
        <v>3.9853143143198517</v>
      </c>
      <c r="K31" s="99">
        <f t="shared" si="2"/>
        <v>7.999727584479317</v>
      </c>
      <c r="L31" s="42"/>
      <c r="Q31" s="22"/>
      <c r="R31"/>
      <c r="S31" s="60">
        <v>2000</v>
      </c>
      <c r="T31" s="61">
        <f>1/SQRT(1+(2*PI()*S31*($N$13+$N$13)*($N$21+($N$12*$N$12)/(N$12+N$12)))^2)</f>
        <v>0.02612912898645736</v>
      </c>
      <c r="U31" s="43">
        <f t="shared" si="0"/>
        <v>-31.65750134443556</v>
      </c>
      <c r="V31" s="60">
        <v>2000</v>
      </c>
      <c r="W31" s="61">
        <f>1/SQRT(1+(2*PI()*V31*($N$13+$N$13)*($O$21+($N$12*$N$12)/(N$12+N$12)))^2)</f>
        <v>0.011164837967655937</v>
      </c>
      <c r="X31" s="43">
        <f t="shared" si="1"/>
        <v>-39.04295150695798</v>
      </c>
    </row>
    <row r="32" spans="2:24" ht="12">
      <c r="B32" s="104">
        <f>FILTER!B32</f>
        <v>8000</v>
      </c>
      <c r="C32" s="105">
        <f>FILTER!C32</f>
        <v>80</v>
      </c>
      <c r="D32" s="106">
        <f>FILTER!D32</f>
        <v>40</v>
      </c>
      <c r="E32" s="130">
        <f>FILTER!E32</f>
        <v>10</v>
      </c>
      <c r="F32" s="132">
        <f>FILTER!F32</f>
        <v>0.04993761694389224</v>
      </c>
      <c r="G32" s="133">
        <f>FILTER!G32</f>
        <v>0.4993761694389224</v>
      </c>
      <c r="H32" s="97">
        <f t="shared" si="2"/>
        <v>0.09962626722486573</v>
      </c>
      <c r="I32" s="98">
        <f t="shared" si="2"/>
        <v>1.4947259097797052</v>
      </c>
      <c r="J32" s="98">
        <f t="shared" si="2"/>
        <v>3.491155274553119</v>
      </c>
      <c r="K32" s="99">
        <f t="shared" si="2"/>
        <v>7.00787034064209</v>
      </c>
      <c r="L32" s="22"/>
      <c r="Q32" s="22"/>
      <c r="R32"/>
      <c r="S32" s="60">
        <v>3000</v>
      </c>
      <c r="T32" s="61">
        <f>1/SQRT(1+(2*PI()*S32*($N$13+$N$13)*($N$21+($N$12*$N$12)/(N$12+N$12)))^2)</f>
        <v>0.017422723815540626</v>
      </c>
      <c r="U32" s="43">
        <f t="shared" si="0"/>
        <v>-35.177678954895775</v>
      </c>
      <c r="V32" s="60">
        <v>3000</v>
      </c>
      <c r="W32" s="61">
        <f>1/SQRT(1+(2*PI()*V32*($N$13+$N$13)*($O$21+($N$12*$N$12)/(N$12+N$12)))^2)</f>
        <v>0.007443483054291387</v>
      </c>
      <c r="X32" s="43">
        <f t="shared" si="1"/>
        <v>-42.564475920025956</v>
      </c>
    </row>
    <row r="33" spans="2:24" ht="12">
      <c r="B33" s="104">
        <f>FILTER!B33</f>
        <v>9000</v>
      </c>
      <c r="C33" s="105">
        <f>FILTER!C33</f>
        <v>78.98039215686275</v>
      </c>
      <c r="D33" s="106">
        <f>FILTER!D33</f>
        <v>40</v>
      </c>
      <c r="E33" s="130">
        <f>FILTER!E33</f>
        <v>11.24554200629805</v>
      </c>
      <c r="F33" s="132">
        <f>FILTER!F33</f>
        <v>0.04440061362072038</v>
      </c>
      <c r="G33" s="133">
        <f>FILTER!G33</f>
        <v>0.49930896557722043</v>
      </c>
      <c r="H33" s="97">
        <f t="shared" si="2"/>
        <v>0.08862625123092632</v>
      </c>
      <c r="I33" s="98">
        <f t="shared" si="2"/>
        <v>1.3296895666971287</v>
      </c>
      <c r="J33" s="98">
        <f t="shared" si="2"/>
        <v>3.1056939556106595</v>
      </c>
      <c r="K33" s="99">
        <f t="shared" si="2"/>
        <v>6.234167778505703</v>
      </c>
      <c r="L33" s="22"/>
      <c r="Q33" s="22"/>
      <c r="R33"/>
      <c r="S33" s="60">
        <v>4000</v>
      </c>
      <c r="T33" s="61">
        <f>1/SQRT(1+(2*PI()*S33*($N$13+$N$13)*($N$21+($N$12*$N$12)/(N$12+N$12)))^2)</f>
        <v>0.013067910623881887</v>
      </c>
      <c r="U33" s="43">
        <f t="shared" si="0"/>
        <v>-37.675876889637</v>
      </c>
      <c r="V33" s="60">
        <v>4000</v>
      </c>
      <c r="W33" s="61">
        <f>1/SQRT(1+(2*PI()*V33*($N$13+$N$13)*($O$21+($N$12*$N$12)/(N$12+N$12)))^2)</f>
        <v>0.005582679952874617</v>
      </c>
      <c r="X33" s="43">
        <f t="shared" si="1"/>
        <v>-45.06314537845483</v>
      </c>
    </row>
    <row r="34" spans="2:24" ht="12">
      <c r="B34" s="104">
        <f>FILTER!B34</f>
        <v>10000</v>
      </c>
      <c r="C34" s="105">
        <f>FILTER!C34</f>
        <v>78.0392156862745</v>
      </c>
      <c r="D34" s="106">
        <f>FILTER!D34</f>
        <v>40</v>
      </c>
      <c r="E34" s="130">
        <f>FILTER!E34</f>
        <v>12.532543355087805</v>
      </c>
      <c r="F34" s="132">
        <f>FILTER!F34</f>
        <v>0.03996803834887158</v>
      </c>
      <c r="G34" s="133">
        <f>FILTER!G34</f>
        <v>0.5009011734250451</v>
      </c>
      <c r="H34" s="97">
        <f t="shared" si="2"/>
        <v>0.07980846264724062</v>
      </c>
      <c r="I34" s="98">
        <f t="shared" si="2"/>
        <v>1.1973936580603541</v>
      </c>
      <c r="J34" s="98">
        <f t="shared" si="2"/>
        <v>2.7967002265102194</v>
      </c>
      <c r="K34" s="99">
        <f t="shared" si="2"/>
        <v>5.613941085450304</v>
      </c>
      <c r="L34" s="22"/>
      <c r="O34" s="22"/>
      <c r="P34" s="22"/>
      <c r="Q34" s="22"/>
      <c r="R34"/>
      <c r="S34" s="60">
        <v>5000</v>
      </c>
      <c r="T34" s="61">
        <f>1/SQRT(1+(2*PI()*S34*($N$13+$N$13)*($N$21+($N$12*$N$12)/(N$12+N$12)))^2)</f>
        <v>0.01045464986588725</v>
      </c>
      <c r="U34" s="43">
        <f t="shared" si="0"/>
        <v>-39.61381014905319</v>
      </c>
      <c r="V34" s="60">
        <v>5000</v>
      </c>
      <c r="W34" s="61">
        <f>1/SQRT(1+(2*PI()*V34*($N$13+$N$13)*($O$21+($N$12*$N$12)/(N$12+N$12)))^2)</f>
        <v>0.0044661690172958166</v>
      </c>
      <c r="X34" s="43">
        <f t="shared" si="1"/>
        <v>-47.00129691105083</v>
      </c>
    </row>
    <row r="35" spans="2:24" s="6" customFormat="1" ht="12">
      <c r="B35" s="104">
        <f>FILTER!B35</f>
        <v>20000</v>
      </c>
      <c r="C35" s="105">
        <f>FILTER!C35</f>
        <v>71.76470588235294</v>
      </c>
      <c r="D35" s="106">
        <f>FILTER!D35</f>
        <v>40</v>
      </c>
      <c r="E35" s="130">
        <f>FILTER!E35</f>
        <v>25.808615404180728</v>
      </c>
      <c r="F35" s="132">
        <f>FILTER!F35</f>
        <v>0.019996001199600145</v>
      </c>
      <c r="G35" s="133">
        <f>FILTER!G35</f>
        <v>0.5160691045820166</v>
      </c>
      <c r="H35" s="97">
        <f t="shared" si="2"/>
        <v>0.03997605191452536</v>
      </c>
      <c r="I35" s="98">
        <f t="shared" si="2"/>
        <v>0.5997749404537505</v>
      </c>
      <c r="J35" s="98">
        <f t="shared" si="2"/>
        <v>1.4008740880281125</v>
      </c>
      <c r="K35" s="99">
        <f t="shared" si="2"/>
        <v>2.8120807032033515</v>
      </c>
      <c r="L35" s="22"/>
      <c r="M35"/>
      <c r="N35"/>
      <c r="O35" s="22"/>
      <c r="P35" s="22"/>
      <c r="Q35" s="22"/>
      <c r="R35"/>
      <c r="S35" s="60">
        <v>6000</v>
      </c>
      <c r="T35" s="61">
        <f>1/SQRT(1+(2*PI()*S35*($N$13+$N$13)*($N$21+($N$12*$N$12)/(N$12+N$12)))^2)</f>
        <v>0.00871235370659959</v>
      </c>
      <c r="U35" s="43">
        <f t="shared" si="0"/>
        <v>-41.19729002568345</v>
      </c>
      <c r="V35" s="60">
        <v>6000</v>
      </c>
      <c r="W35" s="61">
        <f>1/SQRT(1+(2*PI()*V35*($N$13+$N$13)*($O$21+($N$12*$N$12)/(N$12+N$12)))^2)</f>
        <v>0.00372181885632826</v>
      </c>
      <c r="X35" s="43">
        <f t="shared" si="1"/>
        <v>-48.58489536247953</v>
      </c>
    </row>
    <row r="36" spans="2:24" ht="12">
      <c r="B36" s="104">
        <f>FILTER!B36</f>
        <v>30000</v>
      </c>
      <c r="C36" s="105">
        <f>FILTER!C36</f>
        <v>68.62745098039215</v>
      </c>
      <c r="D36" s="106">
        <f>FILTER!D36</f>
        <v>40</v>
      </c>
      <c r="E36" s="130">
        <f>FILTER!E36</f>
        <v>37.03628786353606</v>
      </c>
      <c r="F36" s="132">
        <f>FILTER!F36</f>
        <v>0.013332148306149436</v>
      </c>
      <c r="G36" s="133">
        <f>FILTER!G36</f>
        <v>0.4937732825059052</v>
      </c>
      <c r="H36" s="97">
        <f t="shared" si="2"/>
        <v>0.026659583778473536</v>
      </c>
      <c r="I36" s="98">
        <f t="shared" si="2"/>
        <v>0.3999832972862126</v>
      </c>
      <c r="J36" s="98">
        <f t="shared" si="2"/>
        <v>0.9342282169360842</v>
      </c>
      <c r="K36" s="99">
        <f t="shared" si="2"/>
        <v>1.8753524946300786</v>
      </c>
      <c r="L36" s="22"/>
      <c r="O36" s="22"/>
      <c r="P36" s="22"/>
      <c r="Q36" s="22"/>
      <c r="R36"/>
      <c r="S36" s="60">
        <v>7000</v>
      </c>
      <c r="T36" s="61">
        <f>1/SQRT(1+(2*PI()*S36*($N$13+$N$13)*($N$21+($N$12*$N$12)/(N$12+N$12)))^2)</f>
        <v>0.00746780694257532</v>
      </c>
      <c r="U36" s="43">
        <f t="shared" si="0"/>
        <v>-42.53613835880301</v>
      </c>
      <c r="V36" s="60">
        <v>7000</v>
      </c>
      <c r="W36" s="61">
        <f>1/SQRT(1+(2*PI()*V36*($N$13+$N$13)*($O$21+($N$12*$N$12)/(N$12+N$12)))^2)</f>
        <v>0.0031901363101675202</v>
      </c>
      <c r="X36" s="43">
        <f t="shared" si="1"/>
        <v>-49.92381519472583</v>
      </c>
    </row>
    <row r="37" spans="2:24" ht="12">
      <c r="B37" s="104">
        <f>FILTER!B37</f>
        <v>40000</v>
      </c>
      <c r="C37" s="105">
        <f>FILTER!C37</f>
        <v>67.05882352941177</v>
      </c>
      <c r="D37" s="106">
        <f>FILTER!D37</f>
        <v>40</v>
      </c>
      <c r="E37" s="130">
        <f>FILTER!E37</f>
        <v>44.36687330978609</v>
      </c>
      <c r="F37" s="132">
        <f>FILTER!F37</f>
        <v>0.009999500037496877</v>
      </c>
      <c r="G37" s="133">
        <f>FILTER!G37</f>
        <v>0.44364655132482517</v>
      </c>
      <c r="H37" s="97">
        <f t="shared" si="2"/>
        <v>0.01999702036497783</v>
      </c>
      <c r="I37" s="98">
        <f t="shared" si="2"/>
        <v>0.300022487058172</v>
      </c>
      <c r="J37" s="98">
        <f t="shared" si="2"/>
        <v>0.7007531351070749</v>
      </c>
      <c r="K37" s="99">
        <f t="shared" si="2"/>
        <v>1.4066803410894522</v>
      </c>
      <c r="L37" s="22"/>
      <c r="O37" s="22"/>
      <c r="P37" s="22"/>
      <c r="Q37" s="22"/>
      <c r="R37"/>
      <c r="S37" s="60">
        <v>8000</v>
      </c>
      <c r="T37" s="61">
        <f>1/SQRT(1+(2*PI()*S37*($N$13+$N$13)*($N$21+($N$12*$N$12)/(N$12+N$12)))^2)</f>
        <v>0.006534373779175199</v>
      </c>
      <c r="U37" s="43">
        <f t="shared" si="0"/>
        <v>-43.695920532839594</v>
      </c>
      <c r="V37" s="60">
        <v>8000</v>
      </c>
      <c r="W37" s="61">
        <f>1/SQRT(1+(2*PI()*V37*($N$13+$N$13)*($O$21+($N$12*$N$12)/(N$12+N$12)))^2)</f>
        <v>0.002791372600427587</v>
      </c>
      <c r="X37" s="43">
        <f t="shared" si="1"/>
        <v>-51.0836437753568</v>
      </c>
    </row>
    <row r="38" spans="2:24" ht="12">
      <c r="B38" s="104">
        <f>FILTER!B38</f>
        <v>50000</v>
      </c>
      <c r="C38" s="105">
        <f>FILTER!C38</f>
        <v>66.27450980392157</v>
      </c>
      <c r="D38" s="106">
        <f>FILTER!D38</f>
        <v>40</v>
      </c>
      <c r="E38" s="130">
        <f>FILTER!E38</f>
        <v>48.55953393399648</v>
      </c>
      <c r="F38" s="132">
        <f>FILTER!F38</f>
        <v>0.007999744012287346</v>
      </c>
      <c r="G38" s="133">
        <f>FILTER!G38</f>
        <v>0.3884638408279525</v>
      </c>
      <c r="H38" s="97">
        <f t="shared" si="2"/>
        <v>0.015998480117768166</v>
      </c>
      <c r="I38" s="98">
        <f t="shared" si="2"/>
        <v>0.24003095671053415</v>
      </c>
      <c r="J38" s="98">
        <f t="shared" si="2"/>
        <v>0.5606328656323064</v>
      </c>
      <c r="K38" s="99">
        <f t="shared" si="2"/>
        <v>1.1254057381331175</v>
      </c>
      <c r="L38" s="22"/>
      <c r="O38" s="22"/>
      <c r="P38" s="22"/>
      <c r="Q38" s="56"/>
      <c r="R38"/>
      <c r="S38" s="60">
        <v>9000</v>
      </c>
      <c r="T38" s="61">
        <f>1/SQRT(1+(2*PI()*S38*($N$13+$N$13)*($N$21+($N$12*$N$12)/(N$12+N$12)))^2)</f>
        <v>0.005808358273484433</v>
      </c>
      <c r="U38" s="43">
        <f t="shared" si="0"/>
        <v>-44.71893206310681</v>
      </c>
      <c r="V38" s="60">
        <v>9000</v>
      </c>
      <c r="W38" s="61">
        <f>1/SQRT(1+(2*PI()*V38*($N$13+$N$13)*($O$21+($N$12*$N$12)/(N$12+N$12)))^2)</f>
        <v>0.0024812221180508147</v>
      </c>
      <c r="X38" s="43">
        <f t="shared" si="1"/>
        <v>-52.10668712224681</v>
      </c>
    </row>
    <row r="39" spans="2:24" ht="12">
      <c r="B39" s="104">
        <f>FILTER!B39</f>
        <v>60000</v>
      </c>
      <c r="C39" s="105">
        <f>FILTER!C39</f>
        <v>65.49019607843137</v>
      </c>
      <c r="D39" s="106">
        <f>FILTER!D39</f>
        <v>40</v>
      </c>
      <c r="E39" s="130">
        <f>FILTER!E39</f>
        <v>53.14840014580978</v>
      </c>
      <c r="F39" s="132">
        <f>FILTER!F39</f>
        <v>0.0066665185234566085</v>
      </c>
      <c r="G39" s="133">
        <f>FILTER!G39</f>
        <v>0.3543147940641248</v>
      </c>
      <c r="H39" s="97">
        <f t="shared" si="2"/>
        <v>0.013332457824206945</v>
      </c>
      <c r="I39" s="98">
        <f t="shared" si="2"/>
        <v>0.20003166753108578</v>
      </c>
      <c r="J39" s="98">
        <f t="shared" si="2"/>
        <v>0.4672077977514611</v>
      </c>
      <c r="K39" s="99">
        <f t="shared" si="2"/>
        <v>0.937865940859004</v>
      </c>
      <c r="L39" s="22"/>
      <c r="O39" s="22"/>
      <c r="P39" s="22"/>
      <c r="Q39" s="22"/>
      <c r="R39"/>
      <c r="S39" s="60">
        <v>10000</v>
      </c>
      <c r="T39" s="61">
        <f>1/SQRT(1+(2*PI()*S39*($N$13+$N$13)*($N$21+($N$12*$N$12)/(N$12+N$12)))^2)</f>
        <v>0.005227539200517218</v>
      </c>
      <c r="U39" s="43">
        <f t="shared" si="0"/>
        <v>-45.634054035803196</v>
      </c>
      <c r="V39" s="60">
        <v>10000</v>
      </c>
      <c r="W39" s="61">
        <f>1/SQRT(1+(2*PI()*V39*($N$13+$N$13)*($O$21+($N$12*$N$12)/(N$12+N$12)))^2)</f>
        <v>0.002233101212306632</v>
      </c>
      <c r="X39" s="43">
        <f t="shared" si="1"/>
        <v>-53.02183185339315</v>
      </c>
    </row>
    <row r="40" spans="2:24" ht="12">
      <c r="B40" s="104">
        <f>FILTER!B40</f>
        <v>70000</v>
      </c>
      <c r="C40" s="105">
        <f>FILTER!C40</f>
        <v>65.09803921568627</v>
      </c>
      <c r="D40" s="106">
        <f>FILTER!D40</f>
        <v>40</v>
      </c>
      <c r="E40" s="130">
        <f>FILTER!E40</f>
        <v>55.60297632845827</v>
      </c>
      <c r="F40" s="132">
        <f>FILTER!F40</f>
        <v>0.005714192422109774</v>
      </c>
      <c r="G40" s="133">
        <f>FILTER!G40</f>
        <v>0.3177261059828254</v>
      </c>
      <c r="H40" s="97">
        <f t="shared" si="2"/>
        <v>0.011428023111371283</v>
      </c>
      <c r="I40" s="98">
        <f t="shared" si="2"/>
        <v>0.17145874907909756</v>
      </c>
      <c r="J40" s="98">
        <f t="shared" si="2"/>
        <v>0.4004709297497633</v>
      </c>
      <c r="K40" s="99">
        <f t="shared" si="2"/>
        <v>0.8038994739229558</v>
      </c>
      <c r="L40" s="22"/>
      <c r="O40" s="22"/>
      <c r="P40" s="22"/>
      <c r="Q40" s="22"/>
      <c r="S40" s="60">
        <v>20000</v>
      </c>
      <c r="T40" s="61">
        <f>1/SQRT(1+(2*PI()*S40*($N$13+$N$13)*($N$21+($N$12*$N$12)/(N$12+N$12)))^2)</f>
        <v>0.0026137963857638417</v>
      </c>
      <c r="U40" s="43">
        <f aca="true" t="shared" si="3" ref="U40:U49">20*LOG(T40)</f>
        <v>-51.65456493788986</v>
      </c>
      <c r="V40" s="60">
        <v>20000</v>
      </c>
      <c r="W40" s="61">
        <f>1/SQRT(1+(2*PI()*V40*($N$13+$N$13)*($O$21+($N$12*$N$12)/(N$12+N$12)))^2)</f>
        <v>0.0011165526941399402</v>
      </c>
      <c r="X40" s="43">
        <f aca="true" t="shared" si="4" ref="X40:X49">20*LOG(W40)</f>
        <v>-59.04241552378658</v>
      </c>
    </row>
    <row r="41" spans="2:24" ht="12">
      <c r="B41" s="104">
        <f>FILTER!B41</f>
        <v>80000</v>
      </c>
      <c r="C41" s="105">
        <f>FILTER!C41</f>
        <v>64.70588235294117</v>
      </c>
      <c r="D41" s="106">
        <f>FILTER!D41</f>
        <v>40</v>
      </c>
      <c r="E41" s="130">
        <f>FILTER!E41</f>
        <v>58.17091329374359</v>
      </c>
      <c r="F41" s="132">
        <f>FILTER!F41</f>
        <v>0.004999937501171852</v>
      </c>
      <c r="G41" s="133">
        <f>FILTER!G41</f>
        <v>0.2908509308548048</v>
      </c>
      <c r="H41" s="97">
        <f t="shared" si="2"/>
        <v>0.00999963501047748</v>
      </c>
      <c r="I41" s="98">
        <f t="shared" si="2"/>
        <v>0.15002812855076808</v>
      </c>
      <c r="J41" s="98">
        <f t="shared" si="2"/>
        <v>0.350416097544699</v>
      </c>
      <c r="K41" s="99">
        <f t="shared" si="2"/>
        <v>0.7034202074095728</v>
      </c>
      <c r="L41" s="22"/>
      <c r="O41" s="22"/>
      <c r="P41" s="22"/>
      <c r="Q41" s="22"/>
      <c r="S41" s="60">
        <v>30000</v>
      </c>
      <c r="T41" s="61">
        <f>1/SQRT(1+(2*PI()*S41*($N$13+$N$13)*($N$21+($N$12*$N$12)/(N$12+N$12)))^2)</f>
        <v>0.0017425342307553053</v>
      </c>
      <c r="U41" s="43">
        <f t="shared" si="3"/>
        <v>-55.17637363524902</v>
      </c>
      <c r="V41" s="60">
        <v>30000</v>
      </c>
      <c r="W41" s="61">
        <f>1/SQRT(1+(2*PI()*V41*($N$13+$N$13)*($O$21+($N$12*$N$12)/(N$12+N$12)))^2)</f>
        <v>0.0007443687205369435</v>
      </c>
      <c r="X41" s="43">
        <f t="shared" si="4"/>
        <v>-62.56423769695165</v>
      </c>
    </row>
    <row r="42" spans="2:24" ht="12">
      <c r="B42" s="104">
        <f>FILTER!B42</f>
        <v>90000</v>
      </c>
      <c r="C42" s="105">
        <f>FILTER!C42</f>
        <v>64.31372549019608</v>
      </c>
      <c r="D42" s="106">
        <f>FILTER!D42</f>
        <v>40</v>
      </c>
      <c r="E42" s="130">
        <f>FILTER!E42</f>
        <v>60.85744643306688</v>
      </c>
      <c r="F42" s="132">
        <f>FILTER!F42</f>
        <v>0.004444400549347143</v>
      </c>
      <c r="G42" s="133">
        <f>FILTER!G42</f>
        <v>0.27047486835898676</v>
      </c>
      <c r="H42" s="97">
        <f t="shared" si="2"/>
        <v>0.008888634408925865</v>
      </c>
      <c r="I42" s="98">
        <f t="shared" si="2"/>
        <v>0.1333593866009019</v>
      </c>
      <c r="J42" s="98">
        <f t="shared" si="2"/>
        <v>0.3114834340408679</v>
      </c>
      <c r="K42" s="99">
        <f t="shared" si="2"/>
        <v>0.6252673842384315</v>
      </c>
      <c r="L42" s="22"/>
      <c r="O42" s="22"/>
      <c r="P42" s="22"/>
      <c r="Q42" s="22"/>
      <c r="S42" s="60">
        <v>40000</v>
      </c>
      <c r="T42" s="61">
        <f>1/SQRT(1+(2*PI()*S42*($N$13+$N$13)*($N$21+($N$12*$N$12)/(N$12+N$12)))^2)</f>
        <v>0.00130690154113441</v>
      </c>
      <c r="U42" s="43">
        <f t="shared" si="3"/>
        <v>-57.67514259808618</v>
      </c>
      <c r="V42" s="60">
        <v>40000</v>
      </c>
      <c r="W42" s="61">
        <f>1/SQRT(1+(2*PI()*V42*($N$13+$N$13)*($O$21+($N$12*$N$12)/(N$12+N$12)))^2)</f>
        <v>0.0005582766080692133</v>
      </c>
      <c r="X42" s="43">
        <f t="shared" si="4"/>
        <v>-65.06301137633515</v>
      </c>
    </row>
    <row r="43" spans="2:24" ht="12">
      <c r="B43" s="104">
        <f>FILTER!B43</f>
        <v>100000</v>
      </c>
      <c r="C43" s="105">
        <f>FILTER!C43</f>
        <v>63.92156862745098</v>
      </c>
      <c r="D43" s="106">
        <f>FILTER!D43</f>
        <v>40</v>
      </c>
      <c r="E43" s="130">
        <f>FILTER!E43</f>
        <v>63.66805292623691</v>
      </c>
      <c r="F43" s="132">
        <f>FILTER!F43</f>
        <v>0.003999968000383995</v>
      </c>
      <c r="G43" s="133">
        <f>FILTER!G43</f>
        <v>0.25467017435170225</v>
      </c>
      <c r="H43" s="97">
        <f t="shared" si="2"/>
        <v>0.007999816003207566</v>
      </c>
      <c r="I43" s="98">
        <f t="shared" si="2"/>
        <v>0.12002412397303566</v>
      </c>
      <c r="J43" s="98">
        <f t="shared" si="2"/>
        <v>0.28033667331516227</v>
      </c>
      <c r="K43" s="99">
        <f t="shared" si="2"/>
        <v>0.5627438502880601</v>
      </c>
      <c r="L43" s="22"/>
      <c r="O43" s="22"/>
      <c r="P43" s="22"/>
      <c r="Q43" s="22"/>
      <c r="S43" s="60">
        <v>50000</v>
      </c>
      <c r="T43" s="61">
        <f>1/SQRT(1+(2*PI()*S43*($N$13+$N$13)*($N$21+($N$12*$N$12)/(N$12+N$12)))^2)</f>
        <v>0.0010455215543411507</v>
      </c>
      <c r="U43" s="43">
        <f t="shared" si="3"/>
        <v>-59.61334018786965</v>
      </c>
      <c r="V43" s="60">
        <v>50000</v>
      </c>
      <c r="W43" s="61">
        <f>1/SQRT(1+(2*PI()*V43*($N$13+$N$13)*($O$21+($N$12*$N$12)/(N$12+N$12)))^2)</f>
        <v>0.0004466213115113177</v>
      </c>
      <c r="X43" s="43">
        <f t="shared" si="4"/>
        <v>-67.00121114920832</v>
      </c>
    </row>
    <row r="44" spans="2:24" ht="12.75" thickBot="1">
      <c r="B44" s="107">
        <f>FILTER!B44</f>
        <v>1000000</v>
      </c>
      <c r="C44" s="108">
        <f>FILTER!C44</f>
        <v>60</v>
      </c>
      <c r="D44" s="109">
        <f>FILTER!D44</f>
        <v>40</v>
      </c>
      <c r="E44" s="131">
        <f>FILTER!E44</f>
        <v>100</v>
      </c>
      <c r="F44" s="134">
        <f>FILTER!F44</f>
        <v>0.0003999999680000039</v>
      </c>
      <c r="G44" s="135">
        <f>FILTER!G44</f>
        <v>0.03999999680000039</v>
      </c>
      <c r="H44" s="100">
        <f t="shared" si="2"/>
        <v>0.0008000006080000521</v>
      </c>
      <c r="I44" s="101">
        <f t="shared" si="2"/>
        <v>0.01200269772547619</v>
      </c>
      <c r="J44" s="101">
        <f t="shared" si="2"/>
        <v>0.028034335321525126</v>
      </c>
      <c r="K44" s="102">
        <f t="shared" si="2"/>
        <v>0.056275737518990704</v>
      </c>
      <c r="L44" s="22"/>
      <c r="M44" s="1"/>
      <c r="O44" s="22"/>
      <c r="P44" s="22"/>
      <c r="Q44" s="22"/>
      <c r="S44" s="60">
        <v>60000</v>
      </c>
      <c r="T44" s="61">
        <f>1/SQRT(1+(2*PI()*S44*($N$13+$N$13)*($N$21+($N$12*$N$12)/(N$12+N$12)))^2)</f>
        <v>0.0008712681074559943</v>
      </c>
      <c r="U44" s="43">
        <f t="shared" si="3"/>
        <v>-61.19696365824595</v>
      </c>
      <c r="V44" s="60">
        <v>60000</v>
      </c>
      <c r="W44" s="61">
        <f>1/SQRT(1+(2*PI()*V44*($N$13+$N$13)*($O$21+($N$12*$N$12)/(N$12+N$12)))^2)</f>
        <v>0.0003721844376016311</v>
      </c>
      <c r="X44" s="43">
        <f t="shared" si="4"/>
        <v>-68.58483580546114</v>
      </c>
    </row>
    <row r="45" spans="19:24" ht="12">
      <c r="S45" s="60">
        <v>70000</v>
      </c>
      <c r="T45" s="61">
        <f>1/SQRT(1+(2*PI()*S45*($N$13+$N$13)*($N$21+($N$12*$N$12)/(N$12+N$12)))^2)</f>
        <v>0.0007468013101636944</v>
      </c>
      <c r="U45" s="43">
        <f t="shared" si="3"/>
        <v>-62.53589857620628</v>
      </c>
      <c r="V45" s="60">
        <v>70000</v>
      </c>
      <c r="W45" s="61">
        <f>1/SQRT(1+(2*PI()*V45*($N$13+$N$13)*($O$21+($N$12*$N$12)/(N$12+N$12)))^2)</f>
        <v>0.0003190152380919603</v>
      </c>
      <c r="X45" s="43">
        <f t="shared" si="4"/>
        <v>-69.92377143846784</v>
      </c>
    </row>
    <row r="46" spans="2:24" ht="12">
      <c r="B46" s="3" t="s">
        <v>53</v>
      </c>
      <c r="D46" s="14" t="s">
        <v>56</v>
      </c>
      <c r="E46" s="5"/>
      <c r="F46" s="4"/>
      <c r="G46" s="8"/>
      <c r="H46" s="8"/>
      <c r="I46" s="7"/>
      <c r="S46" s="60">
        <v>80000</v>
      </c>
      <c r="T46" s="61">
        <f>1/SQRT(1+(2*PI()*S46*($N$13+$N$13)*($N$21+($N$12*$N$12)/(N$12+N$12)))^2)</f>
        <v>0.0006534511891007767</v>
      </c>
      <c r="U46" s="43">
        <f t="shared" si="3"/>
        <v>-63.69573694807717</v>
      </c>
      <c r="V46" s="60">
        <v>80000</v>
      </c>
      <c r="W46" s="61">
        <f>1/SQRT(1+(2*PI()*V46*($N$13+$N$13)*($O$21+($N$12*$N$12)/(N$12+N$12)))^2)</f>
        <v>0.00027913833665954064</v>
      </c>
      <c r="X46" s="43">
        <f t="shared" si="4"/>
        <v>-71.08361027443144</v>
      </c>
    </row>
    <row r="47" spans="19:24" ht="12">
      <c r="S47" s="60">
        <v>90000</v>
      </c>
      <c r="T47" s="61">
        <f>1/SQRT(1+(2*PI()*S47*($N$13+$N$13)*($N$21+($N$12*$N$12)/(N$12+N$12)))^2)</f>
        <v>0.0005808455274497184</v>
      </c>
      <c r="U47" s="43">
        <f t="shared" si="3"/>
        <v>-64.71878700782327</v>
      </c>
      <c r="V47" s="60">
        <v>90000</v>
      </c>
      <c r="W47" s="61">
        <f>1/SQRT(1+(2*PI()*V47*($N$13+$N$13)*($O$21+($N$12*$N$12)/(N$12+N$12)))^2)</f>
        <v>0.00024812296794839454</v>
      </c>
      <c r="X47" s="43">
        <f t="shared" si="4"/>
        <v>-72.10666065235799</v>
      </c>
    </row>
    <row r="48" spans="19:24" ht="12">
      <c r="S48" s="60">
        <v>100000</v>
      </c>
      <c r="T48" s="61">
        <f>1/SQRT(1+(2*PI()*S48*($N$13+$N$13)*($N$21+($N$12*$N$12)/(N$12+N$12)))^2)</f>
        <v>0.0005227609914598875</v>
      </c>
      <c r="U48" s="43">
        <f t="shared" si="3"/>
        <v>-65.63393654064318</v>
      </c>
      <c r="V48" s="60">
        <v>100000</v>
      </c>
      <c r="W48" s="61">
        <f>1/SQRT(1+(2*PI()*V48*($N$13+$N$13)*($O$21+($N$12*$N$12)/(N$12+N$12)))^2)</f>
        <v>0.00022331067245962683</v>
      </c>
      <c r="X48" s="43">
        <f t="shared" si="4"/>
        <v>-73.02181041277053</v>
      </c>
    </row>
    <row r="49" spans="19:24" ht="12">
      <c r="S49" s="60">
        <v>1000000</v>
      </c>
      <c r="T49" s="61">
        <f>1/SQRT(1+(2*PI()*S49*($N$13+$N$13)*($N$21+($N$12*$N$12)/(N$12+N$12)))^2)</f>
        <v>5.227610621754185E-05</v>
      </c>
      <c r="U49" s="43">
        <f t="shared" si="3"/>
        <v>-85.63393536567553</v>
      </c>
      <c r="V49" s="60">
        <v>1000000</v>
      </c>
      <c r="W49" s="61">
        <f>1/SQRT(1+(2*PI()*V49*($N$13+$N$13)*($O$21+($N$12*$N$12)/(N$12+N$12)))^2)</f>
        <v>2.2331067797193712E-05</v>
      </c>
      <c r="X49" s="43">
        <f t="shared" si="4"/>
        <v>-93.02181019836377</v>
      </c>
    </row>
  </sheetData>
  <mergeCells count="3">
    <mergeCell ref="B11:B12"/>
    <mergeCell ref="C11:C12"/>
    <mergeCell ref="D11:D12"/>
  </mergeCells>
  <printOptions/>
  <pageMargins left="0" right="0" top="0" bottom="0" header="0" footer="0"/>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Johanson Dielectrics,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2009-02-19T21:31:07Z</cp:lastPrinted>
  <dcterms:created xsi:type="dcterms:W3CDTF">2008-10-30T22:31:43Z</dcterms:created>
  <dcterms:modified xsi:type="dcterms:W3CDTF">2009-03-13T18:47:39Z</dcterms:modified>
  <cp:category/>
  <cp:version/>
  <cp:contentType/>
  <cp:contentStatus/>
</cp:coreProperties>
</file>